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illert\Desktop\"/>
    </mc:Choice>
  </mc:AlternateContent>
  <xr:revisionPtr revIDLastSave="0" documentId="13_ncr:1_{E66877E1-6772-44FB-8C50-62A7A7583DDC}" xr6:coauthVersionLast="47" xr6:coauthVersionMax="47" xr10:uidLastSave="{00000000-0000-0000-0000-000000000000}"/>
  <bookViews>
    <workbookView xWindow="-120" yWindow="-120" windowWidth="20730" windowHeight="11760" tabRatio="911" xr2:uid="{00000000-000D-0000-FFFF-FFFF00000000}"/>
  </bookViews>
  <sheets>
    <sheet name="SRM" sheetId="1" r:id="rId1"/>
    <sheet name="SRM-DIN A4" sheetId="2" r:id="rId2"/>
    <sheet name="Linsentypwahl" sheetId="12" r:id="rId3"/>
    <sheet name="HSA" sheetId="13" r:id="rId4"/>
    <sheet name="Beste sph. Linse" sheetId="8" r:id="rId5"/>
    <sheet name="theor. Überrefraktion" sheetId="7" r:id="rId6"/>
    <sheet name="Torische Weichlinse" sheetId="4" r:id="rId7"/>
    <sheet name="VPT" sheetId="5" r:id="rId8"/>
    <sheet name="BTC" sheetId="6" r:id="rId9"/>
    <sheet name="Mobile" sheetId="10" r:id="rId10"/>
    <sheet name="Exzentrizität" sheetId="11" r:id="rId11"/>
    <sheet name="Download neuste Version" sheetId="9" r:id="rId12"/>
  </sheets>
  <calcPr calcId="191029"/>
  <customWorkbookViews>
    <customWorkbookView name="Billert, Rainer - Persönliche Ansicht" guid="{B1D94C4E-3F70-49FE-A1EC-47C95B05E6DE}" mergeInterval="0" personalView="1" maximized="1" xWindow="1" yWindow="1" windowWidth="1596" windowHeight="761" tabRatio="69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7" i="1" l="1"/>
  <c r="K60" i="2"/>
  <c r="K59" i="2"/>
  <c r="J60" i="2"/>
  <c r="J59" i="2"/>
  <c r="H60" i="2"/>
  <c r="H59" i="2"/>
  <c r="Q17" i="1"/>
  <c r="X17" i="1"/>
  <c r="M63" i="2" s="1"/>
  <c r="V17" i="1"/>
  <c r="K63" i="2" s="1"/>
  <c r="P17" i="1"/>
  <c r="T17" i="1"/>
  <c r="S17" i="1"/>
  <c r="Q13" i="8"/>
  <c r="Q12" i="8"/>
  <c r="R15" i="7"/>
  <c r="R14" i="7"/>
  <c r="O6" i="8"/>
  <c r="O5" i="8"/>
  <c r="M6" i="8"/>
  <c r="M5" i="8"/>
  <c r="J5" i="8"/>
  <c r="O12" i="8" s="1"/>
  <c r="P6" i="7"/>
  <c r="P5" i="7"/>
  <c r="K5" i="7"/>
  <c r="P14" i="7" s="1"/>
  <c r="N6" i="7"/>
  <c r="N5" i="7"/>
  <c r="C7" i="7"/>
  <c r="C10" i="13"/>
  <c r="C11" i="13" s="1"/>
  <c r="E11" i="13"/>
  <c r="E10" i="13"/>
  <c r="J6" i="13"/>
  <c r="I10" i="13" s="1"/>
  <c r="I11" i="13" s="1"/>
  <c r="J4" i="13"/>
  <c r="J5" i="13" s="1"/>
  <c r="AP33" i="1"/>
  <c r="K28" i="1"/>
  <c r="N28" i="1"/>
  <c r="N27" i="1"/>
  <c r="AJ26" i="1"/>
  <c r="K27" i="1"/>
  <c r="K10" i="13" l="1"/>
  <c r="K11" i="13"/>
  <c r="O11" i="13" s="1"/>
  <c r="I6" i="12"/>
  <c r="AN3" i="1"/>
  <c r="I7" i="12"/>
  <c r="AL3" i="1"/>
  <c r="G7" i="12"/>
  <c r="AK8" i="1"/>
  <c r="G6" i="12"/>
  <c r="AO7" i="1"/>
  <c r="F10" i="12"/>
  <c r="F4" i="12" s="1"/>
  <c r="C14" i="12"/>
  <c r="C15" i="12" s="1"/>
  <c r="F7" i="12" s="1"/>
  <c r="C16" i="12"/>
  <c r="F11" i="12"/>
  <c r="F6" i="12" s="1"/>
  <c r="O10" i="13" l="1"/>
  <c r="N6" i="13" s="1"/>
  <c r="K13" i="13"/>
  <c r="O13" i="13" s="1"/>
  <c r="K12" i="13"/>
  <c r="O12" i="13"/>
  <c r="O4" i="13" s="1"/>
  <c r="F8" i="12"/>
  <c r="F5" i="12"/>
  <c r="F3" i="7"/>
  <c r="K6" i="7" l="1"/>
  <c r="P15" i="7" s="1"/>
  <c r="G3" i="7"/>
  <c r="Q4" i="13"/>
  <c r="R4" i="13"/>
  <c r="P4" i="13"/>
  <c r="N4" i="13"/>
  <c r="F16" i="12"/>
  <c r="F9" i="12"/>
  <c r="F18" i="12" s="1"/>
  <c r="F14" i="12" s="1"/>
  <c r="F4" i="7"/>
  <c r="G4" i="7"/>
  <c r="F5" i="8"/>
  <c r="Q5" i="8" s="1"/>
  <c r="C7" i="8"/>
  <c r="F3" i="8" s="1"/>
  <c r="G3" i="8" l="1"/>
  <c r="J6" i="8"/>
  <c r="O13" i="8" s="1"/>
  <c r="G4" i="8"/>
  <c r="F4" i="8"/>
  <c r="P3" i="6" l="1"/>
  <c r="F17" i="12" l="1"/>
  <c r="F15" i="12"/>
  <c r="R22" i="1"/>
  <c r="V27" i="1" s="1"/>
  <c r="AP43" i="1" l="1"/>
  <c r="J47" i="2" l="1"/>
  <c r="J48" i="2"/>
  <c r="F32" i="2"/>
  <c r="J49" i="2"/>
  <c r="F36" i="2"/>
  <c r="F31" i="2"/>
  <c r="P17" i="11"/>
  <c r="C58" i="11"/>
  <c r="P16" i="11"/>
  <c r="C57" i="11"/>
  <c r="H56" i="11"/>
  <c r="H55" i="11" s="1"/>
  <c r="D56" i="11"/>
  <c r="D55" i="11"/>
  <c r="H54" i="11"/>
  <c r="D54" i="11"/>
  <c r="P19" i="11"/>
  <c r="P18" i="11"/>
  <c r="AV43" i="10"/>
  <c r="AU43" i="10"/>
  <c r="AP35" i="10"/>
  <c r="AV33" i="10"/>
  <c r="L30" i="10" s="1"/>
  <c r="AP27" i="10"/>
  <c r="O28" i="10" s="1"/>
  <c r="AP26" i="10"/>
  <c r="O27" i="10" s="1"/>
  <c r="AS25" i="10"/>
  <c r="O26" i="10" s="1"/>
  <c r="P26" i="10"/>
  <c r="I27" i="10"/>
  <c r="D27" i="10"/>
  <c r="B27" i="10"/>
  <c r="AO16" i="10"/>
  <c r="G16" i="10"/>
  <c r="AO15" i="10"/>
  <c r="G15" i="10"/>
  <c r="AT14" i="10"/>
  <c r="AQ29" i="10" s="1"/>
  <c r="R23" i="10" s="1"/>
  <c r="AP14" i="10"/>
  <c r="G14" i="10"/>
  <c r="AP13" i="10"/>
  <c r="AT12" i="10"/>
  <c r="AP12" i="10"/>
  <c r="AR5" i="10" s="1"/>
  <c r="O16" i="10" s="1"/>
  <c r="P17" i="10"/>
  <c r="P16" i="10"/>
  <c r="AQ8" i="10"/>
  <c r="P19" i="10" s="1"/>
  <c r="AU7" i="10"/>
  <c r="AU8" i="10" s="1"/>
  <c r="P20" i="10" s="1"/>
  <c r="AT7" i="10"/>
  <c r="O18" i="10" s="1"/>
  <c r="T13" i="10"/>
  <c r="AS2" i="10" s="1"/>
  <c r="O13" i="10"/>
  <c r="AU36" i="10" s="1"/>
  <c r="N5" i="10"/>
  <c r="O11" i="10"/>
  <c r="O12" i="10" s="1"/>
  <c r="AT3" i="10"/>
  <c r="AR3" i="10"/>
  <c r="H12" i="10" s="1"/>
  <c r="I12" i="10" s="1"/>
  <c r="G6" i="7"/>
  <c r="F6" i="7"/>
  <c r="E7" i="8"/>
  <c r="E6" i="8"/>
  <c r="G5" i="8"/>
  <c r="Q6" i="8" s="1"/>
  <c r="E5" i="8"/>
  <c r="J6" i="1"/>
  <c r="AP11" i="10" l="1"/>
  <c r="P18" i="10"/>
  <c r="H52" i="11"/>
  <c r="D57" i="11"/>
  <c r="G61" i="11" s="1"/>
  <c r="R22" i="11" s="1"/>
  <c r="D58" i="11"/>
  <c r="H58" i="11" s="1"/>
  <c r="D52" i="11"/>
  <c r="H53" i="11"/>
  <c r="P20" i="11"/>
  <c r="D53" i="11"/>
  <c r="AR6" i="10"/>
  <c r="O17" i="10" s="1"/>
  <c r="I21" i="10"/>
  <c r="AT10" i="10"/>
  <c r="AP43" i="10" s="1"/>
  <c r="AP10" i="10"/>
  <c r="AT11" i="10"/>
  <c r="AT13" i="10"/>
  <c r="AP16" i="10" s="1"/>
  <c r="AT16" i="10" s="1"/>
  <c r="AP15" i="10"/>
  <c r="AS19" i="10" s="1"/>
  <c r="R22" i="10" s="1"/>
  <c r="I13" i="10"/>
  <c r="AP33" i="10"/>
  <c r="D30" i="10" s="1"/>
  <c r="AQ36" i="10"/>
  <c r="H13" i="10"/>
  <c r="AP8" i="10"/>
  <c r="O19" i="10" s="1"/>
  <c r="T11" i="10"/>
  <c r="AQ2" i="10" s="1"/>
  <c r="T12" i="10"/>
  <c r="AR2" i="10" s="1"/>
  <c r="AS36" i="10"/>
  <c r="H25" i="10"/>
  <c r="H24" i="10"/>
  <c r="AV5" i="10"/>
  <c r="AU29" i="10"/>
  <c r="G6" i="8"/>
  <c r="F6" i="8"/>
  <c r="G5" i="7"/>
  <c r="R6" i="7" s="1"/>
  <c r="F5" i="7"/>
  <c r="R5" i="7" s="1"/>
  <c r="E7" i="7"/>
  <c r="E6" i="7"/>
  <c r="E5" i="7"/>
  <c r="H51" i="2"/>
  <c r="J51" i="2"/>
  <c r="J52" i="2"/>
  <c r="M28" i="2"/>
  <c r="L6" i="2"/>
  <c r="L10" i="2"/>
  <c r="L9" i="2"/>
  <c r="L8" i="2"/>
  <c r="L7" i="2"/>
  <c r="E10" i="2"/>
  <c r="D10" i="2"/>
  <c r="D5" i="2"/>
  <c r="W4" i="1"/>
  <c r="F6" i="1"/>
  <c r="F4" i="1"/>
  <c r="AI15" i="1"/>
  <c r="AI16" i="1"/>
  <c r="I63" i="2"/>
  <c r="F63" i="2"/>
  <c r="Z16" i="1"/>
  <c r="Z15" i="1"/>
  <c r="Z14" i="1"/>
  <c r="G19" i="1"/>
  <c r="F51" i="2" s="1"/>
  <c r="G10" i="1"/>
  <c r="G15" i="2" s="1"/>
  <c r="G9" i="1"/>
  <c r="G13" i="2" s="1"/>
  <c r="L3" i="6"/>
  <c r="L4" i="6" s="1"/>
  <c r="L7" i="6"/>
  <c r="I5" i="5"/>
  <c r="I10" i="5"/>
  <c r="I12" i="5" s="1"/>
  <c r="I7" i="5"/>
  <c r="L3" i="5"/>
  <c r="L5" i="5" s="1"/>
  <c r="L7" i="5" s="1"/>
  <c r="I3" i="5"/>
  <c r="F15" i="4"/>
  <c r="F14" i="4"/>
  <c r="M15" i="4"/>
  <c r="L8" i="4"/>
  <c r="C21" i="4" s="1"/>
  <c r="M6" i="4"/>
  <c r="M4" i="4"/>
  <c r="M5" i="4" s="1"/>
  <c r="C18" i="4"/>
  <c r="I18" i="4" s="1"/>
  <c r="G12" i="1"/>
  <c r="M17" i="2" s="1"/>
  <c r="AM25" i="1"/>
  <c r="F19" i="1" s="1"/>
  <c r="E51" i="2" s="1"/>
  <c r="AO43" i="1"/>
  <c r="E56" i="2" s="1"/>
  <c r="H56" i="2"/>
  <c r="AJ27" i="1"/>
  <c r="F21" i="1" s="1"/>
  <c r="AJ35" i="1"/>
  <c r="AO8" i="1"/>
  <c r="G13" i="1" s="1"/>
  <c r="H18" i="2" s="1"/>
  <c r="AM2" i="1"/>
  <c r="AJ13" i="1"/>
  <c r="F26" i="1" s="1"/>
  <c r="AJ14" i="1"/>
  <c r="AN12" i="1"/>
  <c r="F27" i="1" s="1"/>
  <c r="AJ12" i="1"/>
  <c r="AN14" i="1"/>
  <c r="AL6" i="1" s="1"/>
  <c r="AJ33" i="1" l="1"/>
  <c r="T27" i="1"/>
  <c r="F25" i="1"/>
  <c r="U12" i="1"/>
  <c r="W17" i="1" s="1"/>
  <c r="L63" i="2" s="1"/>
  <c r="P28" i="1"/>
  <c r="F10" i="1"/>
  <c r="F15" i="2" s="1"/>
  <c r="AO29" i="1"/>
  <c r="AO36" i="1"/>
  <c r="I29" i="2"/>
  <c r="F20" i="1"/>
  <c r="E35" i="2"/>
  <c r="F5" i="1"/>
  <c r="AJ8" i="1" s="1"/>
  <c r="AL5" i="1"/>
  <c r="F9" i="1" s="1"/>
  <c r="F13" i="2" s="1"/>
  <c r="AN7" i="1"/>
  <c r="F11" i="1" s="1"/>
  <c r="G10" i="8"/>
  <c r="G12" i="8" s="1"/>
  <c r="I10" i="8"/>
  <c r="I12" i="8" s="1"/>
  <c r="E29" i="2"/>
  <c r="H57" i="11"/>
  <c r="D13" i="11" s="1"/>
  <c r="I62" i="11"/>
  <c r="D65" i="11"/>
  <c r="D14" i="11"/>
  <c r="O23" i="10"/>
  <c r="I20" i="10"/>
  <c r="AU20" i="10"/>
  <c r="I5" i="10" s="1"/>
  <c r="AV35" i="10"/>
  <c r="AT15" i="10"/>
  <c r="AP23" i="10"/>
  <c r="AT8" i="10"/>
  <c r="AU9" i="10" s="1"/>
  <c r="AR33" i="10"/>
  <c r="G30" i="10" s="1"/>
  <c r="AS33" i="10"/>
  <c r="AT33" i="10"/>
  <c r="I30" i="10" s="1"/>
  <c r="F10" i="8"/>
  <c r="G7" i="7"/>
  <c r="F7" i="7"/>
  <c r="L21" i="4"/>
  <c r="I5" i="2"/>
  <c r="L51" i="2"/>
  <c r="G5" i="2"/>
  <c r="AA12" i="1"/>
  <c r="K45" i="2" s="1"/>
  <c r="L45" i="2" s="1"/>
  <c r="AK36" i="1"/>
  <c r="AP5" i="1"/>
  <c r="AJ15" i="1"/>
  <c r="G11" i="1"/>
  <c r="H17" i="2" s="1"/>
  <c r="L10" i="6"/>
  <c r="L10" i="5"/>
  <c r="L12" i="5" s="1"/>
  <c r="L14" i="5" s="1"/>
  <c r="L5" i="6"/>
  <c r="M13" i="4"/>
  <c r="O11" i="4"/>
  <c r="J18" i="4"/>
  <c r="M11" i="4"/>
  <c r="J21" i="4" s="1"/>
  <c r="AJ10" i="1"/>
  <c r="C25" i="1" s="1"/>
  <c r="AN13" i="1"/>
  <c r="F28" i="1" s="1"/>
  <c r="AJ11" i="1"/>
  <c r="C26" i="1" s="1"/>
  <c r="AN11" i="1"/>
  <c r="C28" i="1" s="1"/>
  <c r="AN10" i="1"/>
  <c r="C27" i="1" s="1"/>
  <c r="I9" i="7" l="1"/>
  <c r="I10" i="7" s="1"/>
  <c r="I13" i="7" s="1"/>
  <c r="G9" i="7"/>
  <c r="H9" i="7" s="1"/>
  <c r="F9" i="7"/>
  <c r="F10" i="7" s="1"/>
  <c r="L52" i="2"/>
  <c r="P27" i="1"/>
  <c r="S21" i="1"/>
  <c r="F66" i="2" s="1"/>
  <c r="H5" i="2"/>
  <c r="J4" i="1"/>
  <c r="AK2" i="1" s="1"/>
  <c r="J5" i="1"/>
  <c r="AL2" i="1" s="1"/>
  <c r="I25" i="2"/>
  <c r="E25" i="2"/>
  <c r="I26" i="2"/>
  <c r="AM36" i="1"/>
  <c r="E26" i="2"/>
  <c r="L38" i="2"/>
  <c r="F12" i="1"/>
  <c r="N17" i="1" s="1"/>
  <c r="D63" i="2" s="1"/>
  <c r="AN8" i="1"/>
  <c r="L11" i="6"/>
  <c r="L14" i="6" s="1"/>
  <c r="D11" i="6"/>
  <c r="AJ16" i="1"/>
  <c r="AN16" i="1" s="1"/>
  <c r="I35" i="2"/>
  <c r="F14" i="8"/>
  <c r="I14" i="8" s="1"/>
  <c r="D61" i="11"/>
  <c r="D62" i="11"/>
  <c r="I65" i="11" s="1"/>
  <c r="L65" i="11" s="1"/>
  <c r="AP19" i="10"/>
  <c r="I19" i="10"/>
  <c r="O22" i="10"/>
  <c r="AP20" i="10"/>
  <c r="AU24" i="10" s="1"/>
  <c r="AR30" i="10" s="1"/>
  <c r="AT30" i="10" s="1"/>
  <c r="O20" i="10"/>
  <c r="I8" i="10" s="1"/>
  <c r="O21" i="10"/>
  <c r="I6" i="10" s="1"/>
  <c r="U21" i="10"/>
  <c r="H30" i="10"/>
  <c r="AN33" i="10"/>
  <c r="B30" i="10" s="1"/>
  <c r="F12" i="8"/>
  <c r="AN15" i="1"/>
  <c r="AB12" i="1"/>
  <c r="G17" i="2"/>
  <c r="M14" i="4"/>
  <c r="M9" i="4"/>
  <c r="E21" i="4" s="1"/>
  <c r="AJ43" i="1"/>
  <c r="F54" i="2" s="1"/>
  <c r="H54" i="2" s="1"/>
  <c r="L17" i="2" l="1"/>
  <c r="AB13" i="1"/>
  <c r="L46" i="2" s="1"/>
  <c r="AA13" i="1"/>
  <c r="K46" i="2" s="1"/>
  <c r="F13" i="1"/>
  <c r="R8" i="1" s="1"/>
  <c r="AO9" i="1"/>
  <c r="G10" i="7"/>
  <c r="G13" i="7" s="1"/>
  <c r="E36" i="2"/>
  <c r="AJ23" i="1"/>
  <c r="I11" i="6"/>
  <c r="E31" i="2"/>
  <c r="AO20" i="1"/>
  <c r="I32" i="2" s="1"/>
  <c r="AM19" i="1"/>
  <c r="H15" i="1" s="1"/>
  <c r="K65" i="11"/>
  <c r="AW24" i="10"/>
  <c r="AU23" i="10"/>
  <c r="AW23" i="10" s="1"/>
  <c r="C24" i="10" s="1"/>
  <c r="C27" i="10" s="1"/>
  <c r="E27" i="10"/>
  <c r="G27" i="10" s="1"/>
  <c r="AP30" i="10"/>
  <c r="AP31" i="10" s="1"/>
  <c r="I10" i="10"/>
  <c r="I14" i="10"/>
  <c r="I15" i="10" s="1"/>
  <c r="H14" i="10"/>
  <c r="H15" i="10" s="1"/>
  <c r="I7" i="10"/>
  <c r="I9" i="10"/>
  <c r="E24" i="10"/>
  <c r="AS38" i="10"/>
  <c r="AQ38" i="10"/>
  <c r="F13" i="7"/>
  <c r="AJ20" i="1"/>
  <c r="F15" i="1"/>
  <c r="K25" i="1" s="1"/>
  <c r="AJ19" i="1"/>
  <c r="F16" i="1"/>
  <c r="K26" i="1" s="1"/>
  <c r="M10" i="4"/>
  <c r="H21" i="4" s="1"/>
  <c r="AN33" i="1"/>
  <c r="Z21" i="1" s="1"/>
  <c r="J66" i="2" s="1"/>
  <c r="AP35" i="1"/>
  <c r="AL33" i="1" s="1"/>
  <c r="U21" i="1" s="1"/>
  <c r="H66" i="2" s="1"/>
  <c r="AM33" i="1"/>
  <c r="R7" i="1" l="1"/>
  <c r="AO23" i="1"/>
  <c r="AK29" i="1" s="1"/>
  <c r="Z25" i="1"/>
  <c r="F14" i="1"/>
  <c r="R5" i="1" s="1"/>
  <c r="R9" i="1" s="1"/>
  <c r="L14" i="1"/>
  <c r="AQ23" i="1"/>
  <c r="G18" i="2"/>
  <c r="F22" i="2"/>
  <c r="R4" i="1"/>
  <c r="G31" i="2"/>
  <c r="U21" i="11"/>
  <c r="I28" i="10"/>
  <c r="H27" i="10" s="1"/>
  <c r="AS24" i="10"/>
  <c r="C25" i="10"/>
  <c r="AQ42" i="10"/>
  <c r="AR31" i="10"/>
  <c r="AT31" i="10" s="1"/>
  <c r="AP39" i="10"/>
  <c r="AS39" i="10"/>
  <c r="AS40" i="10" s="1"/>
  <c r="AV39" i="10"/>
  <c r="AV40" i="10" s="1"/>
  <c r="E32" i="2"/>
  <c r="F21" i="2"/>
  <c r="R6" i="1"/>
  <c r="F20" i="2" s="1"/>
  <c r="AO24" i="1"/>
  <c r="AQ24" i="1" s="1"/>
  <c r="AJ30" i="1"/>
  <c r="AJ31" i="1" s="1"/>
  <c r="AL31" i="1" s="1"/>
  <c r="W21" i="1"/>
  <c r="I66" i="2" s="1"/>
  <c r="AH33" i="1"/>
  <c r="N21" i="1" s="1"/>
  <c r="D66" i="2" l="1"/>
  <c r="AB21" i="1"/>
  <c r="L66" i="2" s="1"/>
  <c r="F19" i="2"/>
  <c r="E25" i="10"/>
  <c r="AS42" i="10"/>
  <c r="AP40" i="10"/>
  <c r="AV38" i="10"/>
  <c r="AV30" i="10" s="1"/>
  <c r="G24" i="10" s="1"/>
  <c r="O12" i="1"/>
  <c r="AM24" i="1"/>
  <c r="H36" i="2" s="1"/>
  <c r="H16" i="1"/>
  <c r="F38" i="2"/>
  <c r="F41" i="2"/>
  <c r="E60" i="2" s="1"/>
  <c r="F40" i="2"/>
  <c r="E59" i="2" s="1"/>
  <c r="I36" i="2"/>
  <c r="AL30" i="1"/>
  <c r="Z26" i="1" s="1"/>
  <c r="AK38" i="1"/>
  <c r="U17" i="1"/>
  <c r="J63" i="2" s="1"/>
  <c r="O17" i="1" l="1"/>
  <c r="E63" i="2" s="1"/>
  <c r="V14" i="1"/>
  <c r="R14" i="1"/>
  <c r="N14" i="1"/>
  <c r="U14" i="1"/>
  <c r="T14" i="1"/>
  <c r="O14" i="1"/>
  <c r="P14" i="1"/>
  <c r="AA19" i="1"/>
  <c r="G63" i="2"/>
  <c r="AV42" i="10"/>
  <c r="AV31" i="10" s="1"/>
  <c r="G25" i="10" s="1"/>
  <c r="AN30" i="1"/>
  <c r="AB26" i="1" s="1"/>
  <c r="H40" i="2"/>
  <c r="AK42" i="1"/>
  <c r="H63" i="2" l="1"/>
  <c r="L40" i="2"/>
  <c r="G59" i="2" s="1"/>
  <c r="AA14" i="1"/>
  <c r="AB14" i="1"/>
  <c r="AM38" i="1"/>
  <c r="Q12" i="1"/>
  <c r="AN31" i="1"/>
  <c r="Q14" i="1" s="1"/>
  <c r="H41" i="2"/>
  <c r="AB15" i="1" l="1"/>
  <c r="L48" i="2" s="1"/>
  <c r="L47" i="2"/>
  <c r="AA15" i="1"/>
  <c r="K47" i="2"/>
  <c r="L41" i="2"/>
  <c r="G60" i="2" s="1"/>
  <c r="AM42" i="1"/>
  <c r="K48" i="2" l="1"/>
  <c r="AM39" i="1"/>
  <c r="AP39" i="1"/>
  <c r="AJ39" i="1"/>
  <c r="AA18" i="1"/>
  <c r="AP30" i="1" l="1"/>
  <c r="H48" i="2" s="1"/>
  <c r="AJ40" i="1"/>
  <c r="E46" i="2"/>
  <c r="AP40" i="1"/>
  <c r="H47" i="2" s="1"/>
  <c r="H46" i="2"/>
  <c r="AM40" i="1"/>
  <c r="F46" i="2"/>
  <c r="AP38" i="1"/>
  <c r="E48" i="2" l="1"/>
  <c r="F47" i="2"/>
  <c r="E47" i="2"/>
  <c r="AP42" i="1"/>
  <c r="S12" i="1"/>
  <c r="I59" i="2"/>
  <c r="AP31" i="1" l="1"/>
  <c r="S14" i="1" s="1"/>
  <c r="I60" i="2" l="1"/>
</calcChain>
</file>

<file path=xl/sharedStrings.xml><?xml version="1.0" encoding="utf-8"?>
<sst xmlns="http://schemas.openxmlformats.org/spreadsheetml/2006/main" count="1060" uniqueCount="288">
  <si>
    <t>Zentralradien</t>
  </si>
  <si>
    <t>mm</t>
  </si>
  <si>
    <t xml:space="preserve"> </t>
  </si>
  <si>
    <t>AZ</t>
  </si>
  <si>
    <t>°</t>
  </si>
  <si>
    <t>rc (horizontal)</t>
  </si>
  <si>
    <t>Achse</t>
  </si>
  <si>
    <t>rc (vertikal)</t>
  </si>
  <si>
    <t>Rs(nasal)</t>
  </si>
  <si>
    <t>Rs(temporal)</t>
  </si>
  <si>
    <t>Rs(inferior)</t>
  </si>
  <si>
    <t>Rs(superior)</t>
  </si>
  <si>
    <t>rc(flach)</t>
  </si>
  <si>
    <t>=</t>
  </si>
  <si>
    <t>rs(flach)</t>
  </si>
  <si>
    <t>rs(nasal)</t>
  </si>
  <si>
    <t>rs(temporal)</t>
  </si>
  <si>
    <t>rs(inferior)</t>
  </si>
  <si>
    <t>rs(superior)</t>
  </si>
  <si>
    <t>Zentralradien bewerten:</t>
  </si>
  <si>
    <t>rc(gesamt)</t>
  </si>
  <si>
    <t>rs(gesamt)</t>
  </si>
  <si>
    <t>Zentraltorus bewerten:</t>
  </si>
  <si>
    <t>torische Hornhaut</t>
  </si>
  <si>
    <t>HHA</t>
  </si>
  <si>
    <t>≈</t>
  </si>
  <si>
    <t>GA</t>
  </si>
  <si>
    <t>Gesamtexzentrizität berechnen -  Sphäre oder Asphäre</t>
  </si>
  <si>
    <r>
      <rPr>
        <sz val="14"/>
        <rFont val="Calibri"/>
        <family val="2"/>
      </rPr>
      <t>ε</t>
    </r>
    <r>
      <rPr>
        <sz val="8"/>
        <rFont val="Arial"/>
        <family val="2"/>
      </rPr>
      <t>KL</t>
    </r>
  </si>
  <si>
    <r>
      <rPr>
        <sz val="14"/>
        <rFont val="Calibri"/>
        <family val="2"/>
      </rPr>
      <t>ε</t>
    </r>
    <r>
      <rPr>
        <sz val="8"/>
        <rFont val="Arial"/>
        <family val="2"/>
      </rPr>
      <t>(HH)ges</t>
    </r>
  </si>
  <si>
    <r>
      <rPr>
        <sz val="14"/>
        <rFont val="Calibri"/>
        <family val="2"/>
      </rPr>
      <t>ε</t>
    </r>
    <r>
      <rPr>
        <sz val="8"/>
        <rFont val="Arial"/>
        <family val="2"/>
      </rPr>
      <t>(HH)flach</t>
    </r>
  </si>
  <si>
    <t>Alternative</t>
  </si>
  <si>
    <t>Sphäre</t>
  </si>
  <si>
    <t>Astigmatische Verhältnisse:</t>
  </si>
  <si>
    <t>ro =</t>
  </si>
  <si>
    <t>Empfehlung:</t>
  </si>
  <si>
    <t>Angestrebte Anpassart:</t>
  </si>
  <si>
    <t>dpt</t>
  </si>
  <si>
    <t>LSH</t>
  </si>
  <si>
    <t>Modifikation:</t>
  </si>
  <si>
    <t>HSA</t>
  </si>
  <si>
    <t>Messwinkel</t>
  </si>
  <si>
    <t>cyl</t>
  </si>
  <si>
    <t>Vollkorr. S'KL</t>
  </si>
  <si>
    <t>Achse (hor)</t>
  </si>
  <si>
    <t>ro=</t>
  </si>
  <si>
    <t>Messlinsenberechnung</t>
  </si>
  <si>
    <t>→</t>
  </si>
  <si>
    <t>BSL=</t>
  </si>
  <si>
    <t>dpt   A</t>
  </si>
  <si>
    <t>sph</t>
  </si>
  <si>
    <t>mm  S'KL=</t>
  </si>
  <si>
    <t>Apexlage:</t>
  </si>
  <si>
    <t>°             IA</t>
  </si>
  <si>
    <t>S'KL=</t>
  </si>
  <si>
    <r>
      <t>°        KL</t>
    </r>
    <r>
      <rPr>
        <sz val="10"/>
        <color indexed="56"/>
        <rFont val="Calibri"/>
        <family val="2"/>
      </rPr>
      <t>Ø=</t>
    </r>
  </si>
  <si>
    <t>Achse=</t>
  </si>
  <si>
    <t>Beste sphärische Weiche =</t>
  </si>
  <si>
    <t>gerundet S'KL</t>
  </si>
  <si>
    <r>
      <t>PT     (</t>
    </r>
    <r>
      <rPr>
        <sz val="10"/>
        <color indexed="56"/>
        <rFont val="Calibri"/>
        <family val="2"/>
      </rPr>
      <t>Δ</t>
    </r>
    <r>
      <rPr>
        <sz val="10"/>
        <color indexed="56"/>
        <rFont val="Arial"/>
        <family val="2"/>
      </rPr>
      <t>rs</t>
    </r>
    <r>
      <rPr>
        <sz val="12"/>
        <color indexed="56"/>
        <rFont val="Arial"/>
        <family val="2"/>
      </rPr>
      <t xml:space="preserve">) </t>
    </r>
  </si>
  <si>
    <t>dpt    cyl</t>
  </si>
  <si>
    <t xml:space="preserve">     :      sph</t>
  </si>
  <si>
    <t>Linsenempfehlung (astigm. Verhältnisse):</t>
  </si>
  <si>
    <r>
      <rPr>
        <sz val="10"/>
        <rFont val="Calibri"/>
        <family val="2"/>
      </rPr>
      <t>Δ</t>
    </r>
    <r>
      <rPr>
        <sz val="10"/>
        <rFont val="Arial"/>
        <family val="2"/>
      </rPr>
      <t xml:space="preserve"> rc</t>
    </r>
  </si>
  <si>
    <r>
      <t>Weich-KL</t>
    </r>
    <r>
      <rPr>
        <sz val="10"/>
        <rFont val="Calibri"/>
        <family val="2"/>
      </rPr>
      <t>Ø</t>
    </r>
  </si>
  <si>
    <r>
      <t>Harte-KL</t>
    </r>
    <r>
      <rPr>
        <sz val="10"/>
        <rFont val="Calibri"/>
        <family val="2"/>
      </rPr>
      <t>Ø</t>
    </r>
  </si>
  <si>
    <t>Lidspaltenhöhe</t>
  </si>
  <si>
    <t>HSA umrechnen von</t>
  </si>
  <si>
    <t>auf HSA = 0</t>
  </si>
  <si>
    <t>Minus-Zylinder</t>
  </si>
  <si>
    <t>Refraktion:</t>
  </si>
  <si>
    <t>HH-Zentralradien:</t>
  </si>
  <si>
    <t>gemessene Sagittalradien:</t>
  </si>
  <si>
    <t>Rs(nasal)=</t>
  </si>
  <si>
    <t>Rs(temporal)=</t>
  </si>
  <si>
    <t>Rs(inferior)=</t>
  </si>
  <si>
    <t>Rs(superior)=</t>
  </si>
  <si>
    <t>Messwinkel=</t>
  </si>
  <si>
    <t>a)</t>
  </si>
  <si>
    <t>b)</t>
  </si>
  <si>
    <t>c)</t>
  </si>
  <si>
    <t>d)</t>
  </si>
  <si>
    <t>rs(nasal)=</t>
  </si>
  <si>
    <t>rs(temporal)=</t>
  </si>
  <si>
    <t>e)</t>
  </si>
  <si>
    <t>rs(inferior)=</t>
  </si>
  <si>
    <t>rs(superior)=</t>
  </si>
  <si>
    <t>f)</t>
  </si>
  <si>
    <t>Exzentrizität im flachen Hornhautmeridian  -  Basiskurve berechnen</t>
  </si>
  <si>
    <t>ro</t>
  </si>
  <si>
    <t>g)</t>
  </si>
  <si>
    <t>angestrebte Anpassart:</t>
  </si>
  <si>
    <t>Modifikation=</t>
  </si>
  <si>
    <t>h)</t>
  </si>
  <si>
    <t>i)</t>
  </si>
  <si>
    <t>(</t>
  </si>
  <si>
    <t>)</t>
  </si>
  <si>
    <t>RD</t>
  </si>
  <si>
    <t>A</t>
  </si>
  <si>
    <t>BSL:</t>
  </si>
  <si>
    <t>gerundet</t>
  </si>
  <si>
    <t>S'KL(vollk.):</t>
  </si>
  <si>
    <t>Refraktion (HSA=0):</t>
  </si>
  <si>
    <t>Stabilisationsachse:</t>
  </si>
  <si>
    <t>Inklination:</t>
  </si>
  <si>
    <t>Messlinsen  SBW:</t>
  </si>
  <si>
    <t>Überrefraktion:</t>
  </si>
  <si>
    <t>Überrefraktion (HSA=0):</t>
  </si>
  <si>
    <t>Berechnung von standardtorischen und individuell torischen Weichlinsen   © Rainer Billert  28.04.2013</t>
  </si>
  <si>
    <t>Achsen</t>
  </si>
  <si>
    <t>:    sph</t>
  </si>
  <si>
    <t>Hartlinse:</t>
  </si>
  <si>
    <r>
      <t xml:space="preserve">Beste </t>
    </r>
    <r>
      <rPr>
        <sz val="10"/>
        <color indexed="55"/>
        <rFont val="Arial"/>
        <family val="2"/>
      </rPr>
      <t>a</t>
    </r>
    <r>
      <rPr>
        <sz val="10"/>
        <color indexed="56"/>
        <rFont val="Arial"/>
        <family val="2"/>
      </rPr>
      <t>sph. Hartlinse:</t>
    </r>
  </si>
  <si>
    <t>Refraktion (HSA=0)</t>
  </si>
  <si>
    <t>Beste sph. Hartlinse</t>
  </si>
  <si>
    <t xml:space="preserve"> (BSL)  AZ</t>
  </si>
  <si>
    <r>
      <t>n</t>
    </r>
    <r>
      <rPr>
        <sz val="8"/>
        <color theme="0" tint="-0.499984740745262"/>
        <rFont val="Arial"/>
        <family val="2"/>
      </rPr>
      <t>(KL)</t>
    </r>
  </si>
  <si>
    <t>D2(</t>
  </si>
  <si>
    <t>)°</t>
  </si>
  <si>
    <t>D1(</t>
  </si>
  <si>
    <t>Fronttorus VT</t>
  </si>
  <si>
    <t>VPT-Fronttorus</t>
  </si>
  <si>
    <t>ro(flach)  A 0°</t>
  </si>
  <si>
    <t>ro(steil)  A 90°</t>
  </si>
  <si>
    <t>dpt  in 0°</t>
  </si>
  <si>
    <t>ind Ast:</t>
  </si>
  <si>
    <t>A 90°</t>
  </si>
  <si>
    <t>BTC-Messlinsenparameter:</t>
  </si>
  <si>
    <t>BTC-Messlinsen  SBW:</t>
  </si>
  <si>
    <r>
      <t>HH</t>
    </r>
    <r>
      <rPr>
        <sz val="10"/>
        <color theme="1" tint="0.249977111117893"/>
        <rFont val="Calibri"/>
        <family val="2"/>
      </rPr>
      <t>Ø</t>
    </r>
    <r>
      <rPr>
        <sz val="10"/>
        <color theme="1" tint="0.249977111117893"/>
        <rFont val="Arial"/>
        <family val="2"/>
      </rPr>
      <t>(hor)</t>
    </r>
  </si>
  <si>
    <r>
      <t>HH</t>
    </r>
    <r>
      <rPr>
        <sz val="10"/>
        <color theme="1" tint="0.249977111117893"/>
        <rFont val="Calibri"/>
        <family val="2"/>
      </rPr>
      <t>Ø</t>
    </r>
    <r>
      <rPr>
        <sz val="10"/>
        <color theme="1" tint="0.249977111117893"/>
        <rFont val="Arial"/>
        <family val="2"/>
      </rPr>
      <t>(ver)</t>
    </r>
  </si>
  <si>
    <t>HH-Radien:</t>
  </si>
  <si>
    <t>Augenmaße:</t>
  </si>
  <si>
    <t>Refraktion  (HSA=0)</t>
  </si>
  <si>
    <t>Zylinder</t>
  </si>
  <si>
    <t>HH-Radienauswertung:</t>
  </si>
  <si>
    <t>Zentralradien:</t>
  </si>
  <si>
    <t>HHA  ≈</t>
  </si>
  <si>
    <t>GA    ≈</t>
  </si>
  <si>
    <t>IA     ≈</t>
  </si>
  <si>
    <t>Linsenempfehlung:</t>
  </si>
  <si>
    <t>LSH-Wertung:</t>
  </si>
  <si>
    <t>Bogenmaß Messwinkel</t>
  </si>
  <si>
    <r>
      <rPr>
        <sz val="14"/>
        <rFont val="Calibri"/>
        <family val="2"/>
      </rPr>
      <t>ε</t>
    </r>
    <r>
      <rPr>
        <sz val="8"/>
        <rFont val="Arial"/>
        <family val="2"/>
      </rPr>
      <t>(HH)flach 30°</t>
    </r>
  </si>
  <si>
    <r>
      <rPr>
        <sz val="14"/>
        <rFont val="Calibri"/>
        <family val="2"/>
      </rPr>
      <t>ε</t>
    </r>
    <r>
      <rPr>
        <sz val="8"/>
        <rFont val="Arial"/>
        <family val="2"/>
      </rPr>
      <t>(HH)ges 30°</t>
    </r>
  </si>
  <si>
    <r>
      <rPr>
        <sz val="14"/>
        <rFont val="Calibri"/>
        <family val="2"/>
      </rPr>
      <t>ε</t>
    </r>
    <r>
      <rPr>
        <sz val="8"/>
        <rFont val="Arial"/>
        <family val="2"/>
      </rPr>
      <t>(HH)flach  30°</t>
    </r>
  </si>
  <si>
    <t>HL-Rückfläche:</t>
  </si>
  <si>
    <t>/</t>
  </si>
  <si>
    <t>Alternative:</t>
  </si>
  <si>
    <t>Hartlinsenvorschlag (RS):</t>
  </si>
  <si>
    <t>Weichlinsenvorschlag:</t>
  </si>
  <si>
    <t>°   /  Ø</t>
  </si>
  <si>
    <t>Hartlinsenvorschlag (RT):</t>
  </si>
  <si>
    <t>der Scheitelbrechwert ist für den flachen Radius berechnet</t>
  </si>
  <si>
    <t>Zentraltorus:</t>
  </si>
  <si>
    <t>(ro</t>
  </si>
  <si>
    <r>
      <t xml:space="preserve">   </t>
    </r>
    <r>
      <rPr>
        <sz val="10"/>
        <rFont val="Calibri"/>
        <family val="2"/>
      </rPr>
      <t>→</t>
    </r>
    <r>
      <rPr>
        <sz val="12"/>
        <rFont val="Arial"/>
        <family val="2"/>
      </rPr>
      <t xml:space="preserve">    </t>
    </r>
    <r>
      <rPr>
        <sz val="10"/>
        <rFont val="Arial"/>
        <family val="2"/>
      </rPr>
      <t>AZ =</t>
    </r>
  </si>
  <si>
    <r>
      <t xml:space="preserve">mm </t>
    </r>
    <r>
      <rPr>
        <sz val="10"/>
        <color indexed="56"/>
        <rFont val="Calibri"/>
        <family val="2"/>
      </rPr>
      <t>≈</t>
    </r>
  </si>
  <si>
    <t>Gesamtexzentrizität  -&gt;  Sphäre oder Asphäre festlegen</t>
  </si>
  <si>
    <t>Exzentrizität im flachen Hornhautmeridian  -&gt;  Basiskurve für Gleichlaufmethode berechnen</t>
  </si>
  <si>
    <t>Durchmesserwahl abhängig von der Lidspaltenhöhe:</t>
  </si>
  <si>
    <t>(Pluszylinderschreibweise)</t>
  </si>
  <si>
    <t>Astigmatismusarten:</t>
  </si>
  <si>
    <r>
      <rPr>
        <sz val="14"/>
        <color theme="1" tint="0.249977111117893"/>
        <rFont val="Calibri"/>
        <family val="2"/>
      </rPr>
      <t>ε</t>
    </r>
    <r>
      <rPr>
        <sz val="8"/>
        <color theme="1" tint="0.249977111117893"/>
        <rFont val="Arial"/>
        <family val="2"/>
      </rPr>
      <t>(HH)ges 30° =</t>
    </r>
  </si>
  <si>
    <r>
      <rPr>
        <sz val="14"/>
        <color theme="1" tint="0.249977111117893"/>
        <rFont val="Calibri"/>
        <family val="2"/>
      </rPr>
      <t>ε</t>
    </r>
    <r>
      <rPr>
        <sz val="8"/>
        <color theme="1" tint="0.249977111117893"/>
        <rFont val="Arial"/>
        <family val="2"/>
      </rPr>
      <t>(HH)flach 30° =</t>
    </r>
  </si>
  <si>
    <t>Pluszylinder-Schreibweise</t>
  </si>
  <si>
    <t>Begründung:</t>
  </si>
  <si>
    <t>© Rainer Billert   c/o  Optonia   15.05.2013</t>
  </si>
  <si>
    <t>Linsenvorschläge:</t>
  </si>
  <si>
    <t>Messwinkel:</t>
  </si>
  <si>
    <t>(Linsentypwahl)</t>
  </si>
  <si>
    <r>
      <rPr>
        <sz val="14"/>
        <rFont val="Calibri"/>
        <family val="2"/>
      </rPr>
      <t>ε</t>
    </r>
    <r>
      <rPr>
        <sz val="8"/>
        <rFont val="Arial"/>
        <family val="2"/>
      </rPr>
      <t xml:space="preserve">(HH)ges 30° </t>
    </r>
    <r>
      <rPr>
        <sz val="10"/>
        <rFont val="Arial"/>
        <family val="2"/>
      </rPr>
      <t>=</t>
    </r>
  </si>
  <si>
    <r>
      <rPr>
        <sz val="14"/>
        <rFont val="Calibri"/>
        <family val="2"/>
      </rPr>
      <t>ε</t>
    </r>
    <r>
      <rPr>
        <sz val="8"/>
        <rFont val="Arial"/>
        <family val="2"/>
      </rPr>
      <t xml:space="preserve">(HH)flach 30° </t>
    </r>
    <r>
      <rPr>
        <sz val="10"/>
        <rFont val="Arial"/>
        <family val="2"/>
      </rPr>
      <t>=</t>
    </r>
  </si>
  <si>
    <r>
      <rPr>
        <sz val="14"/>
        <rFont val="Calibri"/>
        <family val="2"/>
      </rPr>
      <t>ε</t>
    </r>
    <r>
      <rPr>
        <sz val="8"/>
        <rFont val="Arial"/>
        <family val="2"/>
      </rPr>
      <t xml:space="preserve">KL </t>
    </r>
    <r>
      <rPr>
        <sz val="10"/>
        <rFont val="Arial"/>
        <family val="2"/>
      </rPr>
      <t>=</t>
    </r>
  </si>
  <si>
    <t>ro  ≈</t>
  </si>
  <si>
    <t>Harte-KLØ =</t>
  </si>
  <si>
    <t>PT =</t>
  </si>
  <si>
    <t>mm   ---&gt;</t>
  </si>
  <si>
    <t>RT=</t>
  </si>
  <si>
    <t>Vollkorrigierende Hartlinse:</t>
  </si>
  <si>
    <t>S'KL:</t>
  </si>
  <si>
    <t>RS-Hartlinse:</t>
  </si>
  <si>
    <t>S'KL</t>
  </si>
  <si>
    <t>GRD=</t>
  </si>
  <si>
    <t>ÜR=</t>
  </si>
  <si>
    <t>Download neuste Version</t>
  </si>
  <si>
    <r>
      <rPr>
        <sz val="14"/>
        <color theme="6" tint="0.59999389629810485"/>
        <rFont val="Calibri"/>
        <family val="2"/>
      </rPr>
      <t>ε</t>
    </r>
    <r>
      <rPr>
        <sz val="8"/>
        <color theme="6" tint="0.59999389629810485"/>
        <rFont val="Arial"/>
        <family val="2"/>
      </rPr>
      <t>(HH)ges 30° =</t>
    </r>
  </si>
  <si>
    <r>
      <rPr>
        <sz val="14"/>
        <color theme="6" tint="0.59999389629810485"/>
        <rFont val="Calibri"/>
        <family val="2"/>
      </rPr>
      <t>ε</t>
    </r>
    <r>
      <rPr>
        <sz val="8"/>
        <color theme="6" tint="0.59999389629810485"/>
        <rFont val="Arial"/>
        <family val="2"/>
      </rPr>
      <t>(HH)flach 30° =</t>
    </r>
  </si>
  <si>
    <r>
      <t>Weich-KL</t>
    </r>
    <r>
      <rPr>
        <sz val="10"/>
        <color theme="6" tint="0.59999389629810485"/>
        <rFont val="Calibri"/>
        <family val="2"/>
      </rPr>
      <t>Ø =</t>
    </r>
  </si>
  <si>
    <t>:</t>
  </si>
  <si>
    <t>Anpassart</t>
  </si>
  <si>
    <t xml:space="preserve">Messlinsenberechnung © Rainer Billert 24.7.2014 </t>
  </si>
  <si>
    <t xml:space="preserve"> Alternative AZ</t>
  </si>
  <si>
    <t>Exzentrizitätsberechnung Handy</t>
  </si>
  <si>
    <r>
      <rPr>
        <sz val="10"/>
        <color theme="0" tint="-0.34998626667073579"/>
        <rFont val="Calibri"/>
        <family val="2"/>
      </rPr>
      <t>Δ</t>
    </r>
    <r>
      <rPr>
        <sz val="10"/>
        <color theme="0" tint="-0.34998626667073579"/>
        <rFont val="Arial"/>
        <family val="2"/>
      </rPr>
      <t xml:space="preserve"> rc</t>
    </r>
  </si>
  <si>
    <r>
      <rPr>
        <sz val="14"/>
        <color theme="0" tint="-0.34998626667073579"/>
        <rFont val="Calibri"/>
        <family val="2"/>
      </rPr>
      <t>ε</t>
    </r>
    <r>
      <rPr>
        <sz val="8"/>
        <color theme="0" tint="-0.34998626667073579"/>
        <rFont val="Arial"/>
        <family val="2"/>
      </rPr>
      <t>(HH)ges</t>
    </r>
  </si>
  <si>
    <r>
      <rPr>
        <sz val="14"/>
        <color theme="0" tint="-0.34998626667073579"/>
        <rFont val="Calibri"/>
        <family val="2"/>
      </rPr>
      <t>ε</t>
    </r>
    <r>
      <rPr>
        <sz val="8"/>
        <color theme="0" tint="-0.34998626667073579"/>
        <rFont val="Arial"/>
        <family val="2"/>
      </rPr>
      <t>(HH)ges 30°</t>
    </r>
  </si>
  <si>
    <r>
      <rPr>
        <sz val="14"/>
        <color theme="0" tint="-0.34998626667073579"/>
        <rFont val="Calibri"/>
        <family val="2"/>
      </rPr>
      <t>ε</t>
    </r>
    <r>
      <rPr>
        <sz val="8"/>
        <color theme="0" tint="-0.34998626667073579"/>
        <rFont val="Arial"/>
        <family val="2"/>
      </rPr>
      <t>(HH)flach</t>
    </r>
  </si>
  <si>
    <r>
      <rPr>
        <sz val="14"/>
        <color theme="0" tint="-0.34998626667073579"/>
        <rFont val="Calibri"/>
        <family val="2"/>
      </rPr>
      <t>ε</t>
    </r>
    <r>
      <rPr>
        <sz val="8"/>
        <color theme="0" tint="-0.34998626667073579"/>
        <rFont val="Arial"/>
        <family val="2"/>
      </rPr>
      <t>(HH)flach 30°</t>
    </r>
  </si>
  <si>
    <r>
      <rPr>
        <sz val="14"/>
        <color theme="0" tint="-0.34998626667073579"/>
        <rFont val="Calibri"/>
        <family val="2"/>
      </rPr>
      <t>ε</t>
    </r>
    <r>
      <rPr>
        <sz val="8"/>
        <color theme="0" tint="-0.34998626667073579"/>
        <rFont val="Arial"/>
        <family val="2"/>
      </rPr>
      <t>KL</t>
    </r>
  </si>
  <si>
    <r>
      <rPr>
        <sz val="14"/>
        <color theme="0" tint="-0.34998626667073579"/>
        <rFont val="Calibri"/>
        <family val="2"/>
      </rPr>
      <t>ε</t>
    </r>
    <r>
      <rPr>
        <sz val="8"/>
        <color theme="0" tint="-0.34998626667073579"/>
        <rFont val="Arial"/>
        <family val="2"/>
      </rPr>
      <t>(HH)flach  30°</t>
    </r>
  </si>
  <si>
    <r>
      <t xml:space="preserve">   </t>
    </r>
    <r>
      <rPr>
        <sz val="10"/>
        <color theme="0" tint="-0.34998626667073579"/>
        <rFont val="Calibri"/>
        <family val="2"/>
      </rPr>
      <t>→</t>
    </r>
    <r>
      <rPr>
        <sz val="12"/>
        <color theme="0" tint="-0.34998626667073579"/>
        <rFont val="Arial"/>
        <family val="2"/>
      </rPr>
      <t xml:space="preserve">    </t>
    </r>
    <r>
      <rPr>
        <sz val="10"/>
        <color theme="0" tint="-0.34998626667073579"/>
        <rFont val="Arial"/>
        <family val="2"/>
      </rPr>
      <t>AZ =</t>
    </r>
  </si>
  <si>
    <r>
      <rPr>
        <sz val="16"/>
        <color theme="0"/>
        <rFont val="Calibri"/>
        <family val="2"/>
      </rPr>
      <t>ε</t>
    </r>
    <r>
      <rPr>
        <sz val="16"/>
        <color theme="0"/>
        <rFont val="Arial"/>
        <family val="2"/>
      </rPr>
      <t>(HH)ges 30° =</t>
    </r>
  </si>
  <si>
    <r>
      <rPr>
        <sz val="16"/>
        <color theme="0"/>
        <rFont val="Calibri"/>
        <family val="2"/>
      </rPr>
      <t>ε</t>
    </r>
    <r>
      <rPr>
        <sz val="16"/>
        <color theme="0"/>
        <rFont val="Arial"/>
        <family val="2"/>
      </rPr>
      <t>(HH)flach 30° =</t>
    </r>
  </si>
  <si>
    <t>(normal ist zw. 7,4 und 8,2mm)</t>
  </si>
  <si>
    <t>Sagittalradien korrigieren:</t>
  </si>
  <si>
    <t>Astigm. Verhältnisse:</t>
  </si>
  <si>
    <t>rc(gesamt)=</t>
  </si>
  <si>
    <t>rs(gesamt)=</t>
  </si>
  <si>
    <t>rc(flach)=</t>
  </si>
  <si>
    <t>rs(flach)=</t>
  </si>
  <si>
    <t>Scheitelbrechwertberechnung mit Tränenlinsenschätzformel:</t>
  </si>
  <si>
    <t>Durchmesser:</t>
  </si>
  <si>
    <t xml:space="preserve">Periphertorus: </t>
  </si>
  <si>
    <t>Ideale Linse:</t>
  </si>
  <si>
    <t>Alternativlinse:</t>
  </si>
  <si>
    <t>(normal ist 0,1 bis 0,3mm)</t>
  </si>
  <si>
    <t>SRM-Übung  / RS  und  RT - Hartlinsenberechnung  /  Weichlinsenberechnung</t>
  </si>
  <si>
    <t xml:space="preserve">Version: </t>
  </si>
  <si>
    <t>(1=Hydrogel einkurvig  2=Hydrogel mehrkurvig  3=individuelle Benz / SiHy)</t>
  </si>
  <si>
    <t>Erfahrungswert     e=</t>
  </si>
  <si>
    <t>WL-Geometrie</t>
  </si>
  <si>
    <t>D2(90°) =</t>
  </si>
  <si>
    <t>dpt  in 90°</t>
  </si>
  <si>
    <t>Berechnung der Vorderflächenradien einer BTC-Linse   © Rainer Billert  30.05.2017</t>
  </si>
  <si>
    <t>rc(gesamt) =</t>
  </si>
  <si>
    <r>
      <rPr>
        <sz val="10"/>
        <rFont val="Calibri"/>
        <family val="2"/>
      </rPr>
      <t>Δ</t>
    </r>
    <r>
      <rPr>
        <sz val="10"/>
        <rFont val="Arial"/>
        <family val="2"/>
      </rPr>
      <t xml:space="preserve"> rc =</t>
    </r>
  </si>
  <si>
    <t>Zentraltorus</t>
  </si>
  <si>
    <t>rao(</t>
  </si>
  <si>
    <t>Berechnung der Vorderflächenradien einer VPT-Linse   © Rainer Billert  05.02.2020</t>
  </si>
  <si>
    <t>© Rainer Billert   c/o  Optonia   16.3.2021</t>
  </si>
  <si>
    <t>Zwischenwerte:</t>
  </si>
  <si>
    <t>+</t>
  </si>
  <si>
    <t>-</t>
  </si>
  <si>
    <t>WL: ro =</t>
  </si>
  <si>
    <r>
      <rPr>
        <sz val="14"/>
        <color theme="0" tint="-0.499984740745262"/>
        <rFont val="Calibri"/>
        <family val="2"/>
      </rPr>
      <t>ε</t>
    </r>
    <r>
      <rPr>
        <sz val="8"/>
        <color theme="0" tint="-0.499984740745262"/>
        <rFont val="Arial"/>
        <family val="2"/>
      </rPr>
      <t>(HH)ges 30° =</t>
    </r>
  </si>
  <si>
    <r>
      <rPr>
        <sz val="14"/>
        <color theme="0" tint="-0.499984740745262"/>
        <rFont val="Calibri"/>
        <family val="2"/>
      </rPr>
      <t>ε</t>
    </r>
    <r>
      <rPr>
        <sz val="8"/>
        <color theme="0" tint="-0.499984740745262"/>
        <rFont val="Arial"/>
        <family val="2"/>
      </rPr>
      <t>(HH)flach 30° =</t>
    </r>
  </si>
  <si>
    <r>
      <t xml:space="preserve">mm   </t>
    </r>
    <r>
      <rPr>
        <sz val="10"/>
        <color theme="0" tint="-0.499984740745262"/>
        <rFont val="Calibri"/>
        <family val="2"/>
      </rPr>
      <t>≈</t>
    </r>
  </si>
  <si>
    <r>
      <rPr>
        <sz val="14"/>
        <color theme="0" tint="-0.499984740745262"/>
        <rFont val="Calibri"/>
        <family val="2"/>
      </rPr>
      <t xml:space="preserve"> </t>
    </r>
    <r>
      <rPr>
        <sz val="10"/>
        <color theme="0" tint="-0.499984740745262"/>
        <rFont val="Arial"/>
        <family val="2"/>
      </rPr>
      <t>→</t>
    </r>
    <r>
      <rPr>
        <sz val="14"/>
        <color theme="0" tint="-0.499984740745262"/>
        <rFont val="Calibri"/>
        <family val="2"/>
      </rPr>
      <t xml:space="preserve"> ε</t>
    </r>
    <r>
      <rPr>
        <sz val="8"/>
        <color theme="0" tint="-0.499984740745262"/>
        <rFont val="Arial"/>
        <family val="2"/>
      </rPr>
      <t>KL</t>
    </r>
    <r>
      <rPr>
        <sz val="10"/>
        <color theme="0" tint="-0.499984740745262"/>
        <rFont val="Arial"/>
        <family val="2"/>
      </rPr>
      <t>=</t>
    </r>
  </si>
  <si>
    <t xml:space="preserve">  →   ro=</t>
  </si>
  <si>
    <r>
      <t xml:space="preserve">   →    Weich-KL</t>
    </r>
    <r>
      <rPr>
        <sz val="10"/>
        <color theme="1" tint="0.249977111117893"/>
        <rFont val="Calibri"/>
        <family val="2"/>
      </rPr>
      <t xml:space="preserve">Ø </t>
    </r>
    <r>
      <rPr>
        <sz val="12"/>
        <color theme="1" tint="0.249977111117893"/>
        <rFont val="Calibri"/>
        <family val="2"/>
      </rPr>
      <t>=</t>
    </r>
  </si>
  <si>
    <t xml:space="preserve">  →     Harte-KLØ =</t>
  </si>
  <si>
    <r>
      <rPr>
        <sz val="10"/>
        <color theme="1" tint="0.249977111117893"/>
        <rFont val="Calibri"/>
        <family val="2"/>
      </rPr>
      <t xml:space="preserve">   →</t>
    </r>
    <r>
      <rPr>
        <sz val="14"/>
        <color theme="1" tint="0.249977111117893"/>
        <rFont val="Arial"/>
        <family val="2"/>
      </rPr>
      <t xml:space="preserve">  </t>
    </r>
    <r>
      <rPr>
        <sz val="10"/>
        <color theme="1" tint="0.249977111117893"/>
        <rFont val="Arial"/>
        <family val="2"/>
      </rPr>
      <t>LSH-Wertung:</t>
    </r>
  </si>
  <si>
    <t>rs(gesamt) =</t>
  </si>
  <si>
    <t>rc(flach) =</t>
  </si>
  <si>
    <t>rs(flach) =</t>
  </si>
  <si>
    <t>rs(nasal) =</t>
  </si>
  <si>
    <t>rs(temporal) =</t>
  </si>
  <si>
    <t>rs(inferior) =</t>
  </si>
  <si>
    <t>rs(superior) =</t>
  </si>
  <si>
    <r>
      <t>RS-Weich-KL</t>
    </r>
    <r>
      <rPr>
        <sz val="10"/>
        <color theme="0" tint="-0.499984740745262"/>
        <rFont val="Calibri"/>
        <family val="2"/>
      </rPr>
      <t>Ø =</t>
    </r>
  </si>
  <si>
    <t>RS-Harte-KLØ =</t>
  </si>
  <si>
    <t>S'neu</t>
  </si>
  <si>
    <t>S'alt</t>
  </si>
  <si>
    <t>°  =</t>
  </si>
  <si>
    <t>exakter cyl:</t>
  </si>
  <si>
    <t>gerundet:</t>
  </si>
  <si>
    <t>S'WL =</t>
  </si>
  <si>
    <t>S'HL  =</t>
  </si>
  <si>
    <t>beste sph. WL</t>
  </si>
  <si>
    <t>dpt   (Sphäre der Refraktion HSA=0)</t>
  </si>
  <si>
    <t>SBW-Messlinsen  (HSA=0)</t>
  </si>
  <si>
    <t>HSA-Umrechnung  / SBW-Messlinse (praxisnah)  28.9.2021</t>
  </si>
  <si>
    <t xml:space="preserve">   =</t>
  </si>
  <si>
    <t>S'TL</t>
  </si>
  <si>
    <t>S'TL(</t>
  </si>
  <si>
    <t>)*5 =</t>
  </si>
  <si>
    <t>°)=</t>
  </si>
  <si>
    <t xml:space="preserve">)*5 = </t>
  </si>
  <si>
    <t>Berechnung der vollkorrigierenden und besten sphärischen Hartlinse     © Rainer Billert  19.10.2021</t>
  </si>
  <si>
    <t xml:space="preserve">exakte Tränenlinsenwirkungen: </t>
  </si>
  <si>
    <t>° ) =</t>
  </si>
  <si>
    <r>
      <t>° )</t>
    </r>
    <r>
      <rPr>
        <sz val="10"/>
        <rFont val="Calibri"/>
        <family val="2"/>
      </rPr>
      <t>≈</t>
    </r>
  </si>
  <si>
    <t>° )≈</t>
  </si>
  <si>
    <t>)*5 ≈</t>
  </si>
  <si>
    <t>Berechnung der theoretischen Überrefraktion über eine sph. Hartlinse     © Rainer Billert  20.10.2021</t>
  </si>
  <si>
    <t>Linsentypwahl aufgrund astigmatischer Verhältnisse   Beta Nov. 2021</t>
  </si>
  <si>
    <t>VPT-Messlinsenparameter:</t>
  </si>
  <si>
    <t>SBW:</t>
  </si>
  <si>
    <t>/ S'</t>
  </si>
  <si>
    <t>/ Ø</t>
  </si>
  <si>
    <t>Messlinsenvorschlag: Hartlinse (RT oder BTC):</t>
  </si>
  <si>
    <t>Anpassung: horizontal parallel und vertikal leicht flach !Mindestradiendifferenz = 0,3!</t>
  </si>
  <si>
    <t>( ro</t>
  </si>
  <si>
    <t>Hartlinsenvorschlag: Rücktorische Hartlinse  (RT oder BTC)</t>
  </si>
  <si>
    <t>Hartlinsenvorschlag: Rotationssymmetrische Hartlinse  (RS)  und eine Alternativlinse</t>
  </si>
  <si>
    <t>Refr.  (HSA = 0):</t>
  </si>
  <si>
    <t>Auswertung der Sagittalradienmessmethode und Messlinsenberechnung  © Rainer Billert  9.3.2022  (Beta-Version)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</si>
</sst>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00"/>
    <numFmt numFmtId="166" formatCode="0.0"/>
    <numFmt numFmtId="167" formatCode="_-* #,##0.00\ [$€-1]_-;\-* #,##0.00\ [$€-1]_-;_-* &quot;-&quot;??\ [$€-1]_-"/>
    <numFmt numFmtId="168" formatCode="0.0000"/>
  </numFmts>
  <fonts count="7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Wingdings"/>
      <charset val="2"/>
    </font>
    <font>
      <sz val="14"/>
      <name val="Calibri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Calibri"/>
      <family val="2"/>
    </font>
    <font>
      <sz val="10"/>
      <color indexed="55"/>
      <name val="Arial"/>
      <family val="2"/>
    </font>
    <font>
      <sz val="10"/>
      <color indexed="56"/>
      <name val="Calibri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sz val="10"/>
      <color theme="0" tint="-0.499984740745262"/>
      <name val="Arial"/>
      <family val="2"/>
    </font>
    <font>
      <i/>
      <sz val="10"/>
      <color theme="3"/>
      <name val="Arial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10"/>
      <color theme="3"/>
      <name val="Arial"/>
      <family val="2"/>
    </font>
    <font>
      <sz val="10"/>
      <color rgb="FF002060"/>
      <name val="Arial"/>
      <family val="2"/>
    </font>
    <font>
      <sz val="10"/>
      <color rgb="FF7030A0"/>
      <name val="Arial"/>
      <family val="2"/>
    </font>
    <font>
      <sz val="8"/>
      <color rgb="FFC00000"/>
      <name val="Arial"/>
      <family val="2"/>
    </font>
    <font>
      <sz val="8"/>
      <color theme="0" tint="-0.499984740745262"/>
      <name val="Arial"/>
      <family val="2"/>
    </font>
    <font>
      <sz val="5"/>
      <color theme="0" tint="-4.9989318521683403E-2"/>
      <name val="Arial"/>
      <family val="2"/>
    </font>
    <font>
      <i/>
      <sz val="10"/>
      <color rgb="FF002060"/>
      <name val="Arial"/>
      <family val="2"/>
    </font>
    <font>
      <u/>
      <sz val="10"/>
      <color rgb="FF002060"/>
      <name val="Arial"/>
      <family val="2"/>
    </font>
    <font>
      <sz val="10"/>
      <color theme="1" tint="0.249977111117893"/>
      <name val="Arial"/>
      <family val="2"/>
    </font>
    <font>
      <sz val="10"/>
      <color theme="1" tint="0.249977111117893"/>
      <name val="Calibri"/>
      <family val="2"/>
    </font>
    <font>
      <u/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10"/>
      <color theme="1"/>
      <name val="Arial"/>
      <family val="2"/>
    </font>
    <font>
      <sz val="14"/>
      <color theme="1" tint="0.249977111117893"/>
      <name val="Calibri"/>
      <family val="2"/>
    </font>
    <font>
      <sz val="8"/>
      <color theme="1" tint="0.249977111117893"/>
      <name val="Arial"/>
      <family val="2"/>
    </font>
    <font>
      <sz val="10"/>
      <color theme="4" tint="-0.249977111117893"/>
      <name val="Calibri"/>
      <family val="2"/>
    </font>
    <font>
      <sz val="10"/>
      <color theme="1" tint="0.499984740745262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u/>
      <sz val="8"/>
      <color theme="10"/>
      <name val="Arial"/>
      <family val="2"/>
    </font>
    <font>
      <u/>
      <sz val="24"/>
      <color theme="10"/>
      <name val="Arial"/>
      <family val="2"/>
    </font>
    <font>
      <u/>
      <sz val="10"/>
      <color theme="6" tint="0.59999389629810485"/>
      <name val="Arial"/>
      <family val="2"/>
    </font>
    <font>
      <sz val="10"/>
      <color theme="6" tint="0.59999389629810485"/>
      <name val="Arial"/>
      <family val="2"/>
    </font>
    <font>
      <sz val="14"/>
      <color theme="6" tint="0.59999389629810485"/>
      <name val="Calibri"/>
      <family val="2"/>
    </font>
    <font>
      <sz val="8"/>
      <color theme="6" tint="0.59999389629810485"/>
      <name val="Arial"/>
      <family val="2"/>
    </font>
    <font>
      <sz val="10"/>
      <color theme="6" tint="0.59999389629810485"/>
      <name val="Calibri"/>
      <family val="2"/>
    </font>
    <font>
      <sz val="10"/>
      <color theme="0" tint="-0.34998626667073579"/>
      <name val="Calibri"/>
      <family val="2"/>
    </font>
    <font>
      <sz val="14"/>
      <color theme="0" tint="-0.34998626667073579"/>
      <name val="Calibri"/>
      <family val="2"/>
    </font>
    <font>
      <sz val="8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sz val="16"/>
      <color theme="0"/>
      <name val="Arial"/>
      <family val="2"/>
    </font>
    <font>
      <u/>
      <sz val="16"/>
      <color theme="1"/>
      <name val="Arial"/>
      <family val="2"/>
    </font>
    <font>
      <sz val="16"/>
      <name val="Arial"/>
      <family val="2"/>
    </font>
    <font>
      <sz val="16"/>
      <color theme="1" tint="0.249977111117893"/>
      <name val="Arial"/>
      <family val="2"/>
    </font>
    <font>
      <sz val="16"/>
      <color theme="3"/>
      <name val="Arial"/>
      <family val="2"/>
    </font>
    <font>
      <u/>
      <sz val="16"/>
      <name val="Arial"/>
      <family val="2"/>
    </font>
    <font>
      <sz val="16"/>
      <color theme="0"/>
      <name val="Calibri"/>
      <family val="2"/>
    </font>
    <font>
      <sz val="6"/>
      <name val="Arial"/>
      <family val="2"/>
    </font>
    <font>
      <sz val="10"/>
      <color theme="6" tint="0.39997558519241921"/>
      <name val="Arial"/>
      <family val="2"/>
    </font>
    <font>
      <u/>
      <sz val="10"/>
      <color theme="6" tint="0.39997558519241921"/>
      <name val="Arial"/>
      <family val="2"/>
    </font>
    <font>
      <sz val="10"/>
      <color theme="8" tint="0.39997558519241921"/>
      <name val="Arial"/>
      <family val="2"/>
    </font>
    <font>
      <u/>
      <sz val="10"/>
      <color theme="1" tint="0.499984740745262"/>
      <name val="Arial"/>
      <family val="2"/>
    </font>
    <font>
      <sz val="12"/>
      <color theme="1" tint="0.249977111117893"/>
      <name val="Calibri"/>
      <family val="2"/>
    </font>
    <font>
      <sz val="14"/>
      <color theme="0" tint="-0.499984740745262"/>
      <name val="Calibri"/>
      <family val="2"/>
    </font>
    <font>
      <sz val="10"/>
      <color theme="0" tint="-0.499984740745262"/>
      <name val="Calibri"/>
      <family val="2"/>
    </font>
    <font>
      <sz val="14"/>
      <color theme="1" tint="0.249977111117893"/>
      <name val="Arial"/>
      <family val="2"/>
    </font>
    <font>
      <sz val="9"/>
      <color theme="4" tint="-0.249977111117893"/>
      <name val="Arial"/>
      <family val="2"/>
    </font>
    <font>
      <i/>
      <sz val="10"/>
      <name val="Arial"/>
      <family val="2"/>
    </font>
    <font>
      <sz val="8"/>
      <color theme="4" tint="-0.249977111117893"/>
      <name val="Arial"/>
      <family val="2"/>
    </font>
    <font>
      <i/>
      <sz val="10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577">
    <xf numFmtId="0" fontId="0" fillId="0" borderId="0" xfId="0"/>
    <xf numFmtId="0" fontId="1" fillId="0" borderId="0" xfId="0" applyFont="1" applyFill="1" applyBorder="1" applyAlignment="1">
      <alignment horizontal="right"/>
    </xf>
    <xf numFmtId="0" fontId="1" fillId="6" borderId="0" xfId="0" applyFont="1" applyFill="1" applyAlignment="1">
      <alignment horizontal="right" vertical="center"/>
    </xf>
    <xf numFmtId="2" fontId="0" fillId="6" borderId="0" xfId="0" applyNumberForma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right"/>
    </xf>
    <xf numFmtId="0" fontId="0" fillId="6" borderId="0" xfId="0" applyFill="1"/>
    <xf numFmtId="0" fontId="19" fillId="4" borderId="10" xfId="0" applyFont="1" applyFill="1" applyBorder="1" applyAlignment="1" applyProtection="1">
      <alignment horizontal="center"/>
      <protection locked="0"/>
    </xf>
    <xf numFmtId="2" fontId="19" fillId="4" borderId="10" xfId="0" applyNumberFormat="1" applyFont="1" applyFill="1" applyBorder="1" applyAlignment="1" applyProtection="1">
      <alignment horizontal="center"/>
      <protection locked="0"/>
    </xf>
    <xf numFmtId="0" fontId="0" fillId="6" borderId="0" xfId="0" applyFill="1" applyAlignment="1">
      <alignment horizontal="right"/>
    </xf>
    <xf numFmtId="0" fontId="14" fillId="6" borderId="0" xfId="0" applyFont="1" applyFill="1"/>
    <xf numFmtId="0" fontId="6" fillId="6" borderId="0" xfId="0" applyFont="1" applyFill="1" applyAlignment="1">
      <alignment horizontal="right"/>
    </xf>
    <xf numFmtId="0" fontId="14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right"/>
    </xf>
    <xf numFmtId="0" fontId="0" fillId="6" borderId="0" xfId="0" applyFill="1" applyAlignment="1">
      <alignment horizontal="center"/>
    </xf>
    <xf numFmtId="0" fontId="6" fillId="6" borderId="0" xfId="0" applyFont="1" applyFill="1" applyAlignment="1">
      <alignment horizontal="right" vertical="center"/>
    </xf>
    <xf numFmtId="0" fontId="21" fillId="6" borderId="0" xfId="0" applyFont="1" applyFill="1"/>
    <xf numFmtId="0" fontId="22" fillId="6" borderId="0" xfId="0" applyFont="1" applyFill="1" applyAlignment="1">
      <alignment vertical="center"/>
    </xf>
    <xf numFmtId="0" fontId="23" fillId="6" borderId="0" xfId="0" applyFont="1" applyFill="1"/>
    <xf numFmtId="0" fontId="0" fillId="7" borderId="0" xfId="0" applyFill="1"/>
    <xf numFmtId="0" fontId="1" fillId="7" borderId="0" xfId="0" applyFont="1" applyFill="1" applyAlignment="1">
      <alignment horizontal="right" vertical="center"/>
    </xf>
    <xf numFmtId="2" fontId="1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0" fontId="1" fillId="7" borderId="0" xfId="0" applyFont="1" applyFill="1"/>
    <xf numFmtId="0" fontId="12" fillId="7" borderId="0" xfId="0" applyFont="1" applyFill="1" applyAlignment="1">
      <alignment horizontal="left" vertical="center"/>
    </xf>
    <xf numFmtId="0" fontId="20" fillId="6" borderId="0" xfId="0" applyFont="1" applyFill="1"/>
    <xf numFmtId="2" fontId="20" fillId="6" borderId="0" xfId="0" applyNumberFormat="1" applyFont="1" applyFill="1"/>
    <xf numFmtId="0" fontId="20" fillId="6" borderId="0" xfId="0" applyFont="1" applyFill="1" applyAlignment="1">
      <alignment horizontal="right" vertical="center"/>
    </xf>
    <xf numFmtId="2" fontId="1" fillId="6" borderId="0" xfId="0" applyNumberFormat="1" applyFont="1" applyFill="1" applyAlignment="1">
      <alignment horizontal="center" vertical="center"/>
    </xf>
    <xf numFmtId="0" fontId="24" fillId="4" borderId="11" xfId="0" applyFont="1" applyFill="1" applyBorder="1"/>
    <xf numFmtId="0" fontId="24" fillId="4" borderId="12" xfId="0" applyFont="1" applyFill="1" applyBorder="1" applyAlignment="1">
      <alignment horizontal="right"/>
    </xf>
    <xf numFmtId="0" fontId="24" fillId="4" borderId="12" xfId="0" applyFont="1" applyFill="1" applyBorder="1"/>
    <xf numFmtId="2" fontId="24" fillId="4" borderId="12" xfId="0" applyNumberFormat="1" applyFont="1" applyFill="1" applyBorder="1" applyAlignment="1">
      <alignment horizontal="center"/>
    </xf>
    <xf numFmtId="2" fontId="24" fillId="4" borderId="12" xfId="0" applyNumberFormat="1" applyFont="1" applyFill="1" applyBorder="1"/>
    <xf numFmtId="0" fontId="24" fillId="4" borderId="13" xfId="0" applyFont="1" applyFill="1" applyBorder="1"/>
    <xf numFmtId="0" fontId="1" fillId="6" borderId="0" xfId="0" applyFont="1" applyFill="1"/>
    <xf numFmtId="2" fontId="6" fillId="6" borderId="0" xfId="0" applyNumberFormat="1" applyFont="1" applyFill="1" applyAlignment="1">
      <alignment horizontal="right" vertical="center"/>
    </xf>
    <xf numFmtId="0" fontId="19" fillId="5" borderId="23" xfId="0" applyFont="1" applyFill="1" applyBorder="1" applyAlignment="1">
      <alignment horizontal="right" vertical="center"/>
    </xf>
    <xf numFmtId="0" fontId="19" fillId="5" borderId="24" xfId="0" applyFont="1" applyFill="1" applyBorder="1" applyAlignment="1">
      <alignment horizontal="center" vertical="center"/>
    </xf>
    <xf numFmtId="0" fontId="19" fillId="5" borderId="24" xfId="0" applyFont="1" applyFill="1" applyBorder="1"/>
    <xf numFmtId="2" fontId="25" fillId="5" borderId="24" xfId="0" applyNumberFormat="1" applyFont="1" applyFill="1" applyBorder="1" applyAlignment="1">
      <alignment horizontal="right" vertical="center"/>
    </xf>
    <xf numFmtId="0" fontId="19" fillId="5" borderId="25" xfId="0" applyFont="1" applyFill="1" applyBorder="1"/>
    <xf numFmtId="0" fontId="19" fillId="5" borderId="23" xfId="0" applyFont="1" applyFill="1" applyBorder="1" applyAlignment="1">
      <alignment horizontal="right"/>
    </xf>
    <xf numFmtId="0" fontId="19" fillId="5" borderId="24" xfId="0" applyFont="1" applyFill="1" applyBorder="1" applyAlignment="1">
      <alignment horizontal="right"/>
    </xf>
    <xf numFmtId="165" fontId="19" fillId="5" borderId="24" xfId="0" applyNumberFormat="1" applyFont="1" applyFill="1" applyBorder="1" applyAlignment="1">
      <alignment horizontal="right"/>
    </xf>
    <xf numFmtId="0" fontId="19" fillId="5" borderId="25" xfId="0" applyFont="1" applyFill="1" applyBorder="1" applyAlignment="1">
      <alignment horizontal="right"/>
    </xf>
    <xf numFmtId="2" fontId="0" fillId="6" borderId="0" xfId="0" applyNumberFormat="1" applyFill="1"/>
    <xf numFmtId="2" fontId="1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35" fillId="8" borderId="4" xfId="0" applyFont="1" applyFill="1" applyBorder="1"/>
    <xf numFmtId="0" fontId="36" fillId="8" borderId="1" xfId="0" applyFont="1" applyFill="1" applyBorder="1" applyAlignment="1">
      <alignment vertical="center"/>
    </xf>
    <xf numFmtId="0" fontId="35" fillId="8" borderId="1" xfId="0" applyFont="1" applyFill="1" applyBorder="1" applyAlignment="1">
      <alignment vertical="center"/>
    </xf>
    <xf numFmtId="2" fontId="1" fillId="0" borderId="0" xfId="0" applyNumberFormat="1" applyFont="1" applyFill="1"/>
    <xf numFmtId="0" fontId="1" fillId="0" borderId="0" xfId="0" applyFont="1" applyFill="1"/>
    <xf numFmtId="0" fontId="13" fillId="8" borderId="0" xfId="0" applyFont="1" applyFill="1" applyBorder="1" applyAlignment="1">
      <alignment vertical="center"/>
    </xf>
    <xf numFmtId="2" fontId="12" fillId="8" borderId="0" xfId="0" applyNumberFormat="1" applyFont="1" applyFill="1" applyBorder="1" applyAlignment="1">
      <alignment vertical="center"/>
    </xf>
    <xf numFmtId="0" fontId="12" fillId="8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" fillId="6" borderId="0" xfId="0" applyFont="1" applyFill="1" applyBorder="1"/>
    <xf numFmtId="0" fontId="1" fillId="6" borderId="0" xfId="0" applyFont="1" applyFill="1" applyBorder="1" applyAlignment="1">
      <alignment vertical="center"/>
    </xf>
    <xf numFmtId="2" fontId="1" fillId="6" borderId="0" xfId="0" applyNumberFormat="1" applyFont="1" applyFill="1"/>
    <xf numFmtId="0" fontId="14" fillId="6" borderId="0" xfId="0" applyFont="1" applyFill="1" applyBorder="1" applyAlignment="1">
      <alignment vertical="center"/>
    </xf>
    <xf numFmtId="14" fontId="12" fillId="6" borderId="0" xfId="0" applyNumberFormat="1" applyFont="1" applyFill="1" applyBorder="1" applyAlignment="1">
      <alignment vertical="center"/>
    </xf>
    <xf numFmtId="0" fontId="12" fillId="6" borderId="0" xfId="0" applyFont="1" applyFill="1" applyBorder="1"/>
    <xf numFmtId="0" fontId="1" fillId="6" borderId="0" xfId="0" applyFont="1" applyFill="1" applyBorder="1" applyAlignment="1">
      <alignment horizontal="right"/>
    </xf>
    <xf numFmtId="0" fontId="28" fillId="6" borderId="0" xfId="0" applyFont="1" applyFill="1" applyBorder="1"/>
    <xf numFmtId="2" fontId="12" fillId="6" borderId="0" xfId="0" applyNumberFormat="1" applyFont="1" applyFill="1" applyBorder="1"/>
    <xf numFmtId="0" fontId="16" fillId="6" borderId="17" xfId="0" applyFont="1" applyFill="1" applyBorder="1" applyAlignment="1">
      <alignment horizontal="left"/>
    </xf>
    <xf numFmtId="0" fontId="16" fillId="6" borderId="17" xfId="0" applyFont="1" applyFill="1" applyBorder="1"/>
    <xf numFmtId="0" fontId="6" fillId="6" borderId="0" xfId="0" applyFont="1" applyFill="1" applyBorder="1" applyAlignment="1">
      <alignment horizontal="left"/>
    </xf>
    <xf numFmtId="0" fontId="6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>
      <alignment horizontal="right"/>
    </xf>
    <xf numFmtId="0" fontId="16" fillId="6" borderId="0" xfId="0" applyFont="1" applyFill="1" applyBorder="1"/>
    <xf numFmtId="0" fontId="26" fillId="6" borderId="0" xfId="0" applyFont="1" applyFill="1" applyBorder="1"/>
    <xf numFmtId="0" fontId="26" fillId="6" borderId="0" xfId="0" applyFont="1" applyFill="1" applyBorder="1" applyAlignment="1">
      <alignment horizontal="right"/>
    </xf>
    <xf numFmtId="2" fontId="29" fillId="6" borderId="0" xfId="0" applyNumberFormat="1" applyFont="1" applyFill="1"/>
    <xf numFmtId="0" fontId="29" fillId="6" borderId="0" xfId="0" applyFont="1" applyFill="1" applyBorder="1"/>
    <xf numFmtId="0" fontId="29" fillId="6" borderId="0" xfId="0" applyFont="1" applyFill="1"/>
    <xf numFmtId="2" fontId="16" fillId="6" borderId="0" xfId="0" applyNumberFormat="1" applyFont="1" applyFill="1" applyBorder="1"/>
    <xf numFmtId="0" fontId="1" fillId="6" borderId="0" xfId="0" applyFont="1" applyFill="1" applyBorder="1" applyAlignment="1">
      <alignment horizontal="left"/>
    </xf>
    <xf numFmtId="0" fontId="34" fillId="6" borderId="0" xfId="0" applyFont="1" applyFill="1" applyBorder="1"/>
    <xf numFmtId="0" fontId="34" fillId="6" borderId="0" xfId="0" applyFont="1" applyFill="1"/>
    <xf numFmtId="1" fontId="1" fillId="6" borderId="0" xfId="0" applyNumberFormat="1" applyFont="1" applyFill="1" applyAlignment="1">
      <alignment horizontal="center" vertical="center"/>
    </xf>
    <xf numFmtId="2" fontId="1" fillId="6" borderId="0" xfId="0" applyNumberFormat="1" applyFont="1" applyFill="1" applyBorder="1"/>
    <xf numFmtId="0" fontId="30" fillId="6" borderId="0" xfId="0" applyFont="1" applyFill="1" applyBorder="1"/>
    <xf numFmtId="0" fontId="7" fillId="6" borderId="0" xfId="0" applyFont="1" applyFill="1" applyBorder="1"/>
    <xf numFmtId="2" fontId="26" fillId="6" borderId="0" xfId="0" applyNumberFormat="1" applyFont="1" applyFill="1" applyBorder="1"/>
    <xf numFmtId="2" fontId="26" fillId="6" borderId="0" xfId="0" applyNumberFormat="1" applyFont="1" applyFill="1" applyBorder="1" applyAlignment="1">
      <alignment horizontal="right"/>
    </xf>
    <xf numFmtId="0" fontId="16" fillId="6" borderId="0" xfId="0" applyFont="1" applyFill="1" applyBorder="1" applyAlignment="1">
      <alignment horizontal="right"/>
    </xf>
    <xf numFmtId="2" fontId="1" fillId="6" borderId="0" xfId="0" applyNumberFormat="1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2" fontId="28" fillId="6" borderId="0" xfId="0" applyNumberFormat="1" applyFont="1" applyFill="1" applyBorder="1"/>
    <xf numFmtId="0" fontId="28" fillId="6" borderId="0" xfId="0" applyFont="1" applyFill="1"/>
    <xf numFmtId="0" fontId="17" fillId="6" borderId="0" xfId="0" applyFont="1" applyFill="1" applyBorder="1"/>
    <xf numFmtId="0" fontId="17" fillId="6" borderId="0" xfId="0" applyFont="1" applyFill="1" applyBorder="1" applyAlignment="1">
      <alignment horizontal="right"/>
    </xf>
    <xf numFmtId="0" fontId="26" fillId="6" borderId="0" xfId="0" applyFont="1" applyFill="1" applyAlignment="1">
      <alignment horizontal="right"/>
    </xf>
    <xf numFmtId="0" fontId="29" fillId="6" borderId="0" xfId="0" applyFont="1" applyFill="1" applyAlignment="1">
      <alignment horizontal="right"/>
    </xf>
    <xf numFmtId="0" fontId="29" fillId="6" borderId="0" xfId="0" applyFont="1" applyFill="1" applyBorder="1" applyAlignment="1">
      <alignment horizontal="right"/>
    </xf>
    <xf numFmtId="2" fontId="1" fillId="6" borderId="0" xfId="0" applyNumberFormat="1" applyFont="1" applyFill="1" applyBorder="1" applyAlignment="1">
      <alignment horizontal="right"/>
    </xf>
    <xf numFmtId="2" fontId="1" fillId="6" borderId="0" xfId="0" applyNumberFormat="1" applyFont="1" applyFill="1" applyBorder="1" applyAlignment="1" applyProtection="1">
      <alignment horizontal="right"/>
    </xf>
    <xf numFmtId="2" fontId="1" fillId="6" borderId="0" xfId="0" applyNumberFormat="1" applyFont="1" applyFill="1" applyBorder="1" applyAlignment="1">
      <alignment horizontal="left"/>
    </xf>
    <xf numFmtId="2" fontId="1" fillId="6" borderId="0" xfId="0" applyNumberFormat="1" applyFont="1" applyFill="1" applyBorder="1" applyProtection="1"/>
    <xf numFmtId="0" fontId="29" fillId="6" borderId="17" xfId="0" applyFont="1" applyFill="1" applyBorder="1" applyAlignment="1">
      <alignment vertical="center"/>
    </xf>
    <xf numFmtId="0" fontId="29" fillId="6" borderId="18" xfId="0" applyFont="1" applyFill="1" applyBorder="1" applyAlignment="1">
      <alignment horizontal="center" vertical="center"/>
    </xf>
    <xf numFmtId="0" fontId="29" fillId="6" borderId="17" xfId="0" applyFont="1" applyFill="1" applyBorder="1" applyAlignment="1">
      <alignment horizontal="center" vertical="center"/>
    </xf>
    <xf numFmtId="168" fontId="1" fillId="6" borderId="0" xfId="0" applyNumberFormat="1" applyFont="1" applyFill="1" applyBorder="1" applyAlignment="1">
      <alignment horizontal="right"/>
    </xf>
    <xf numFmtId="0" fontId="1" fillId="6" borderId="0" xfId="0" applyFont="1" applyFill="1" applyBorder="1" applyProtection="1"/>
    <xf numFmtId="0" fontId="1" fillId="6" borderId="0" xfId="0" applyFont="1" applyFill="1" applyBorder="1" applyAlignment="1">
      <alignment horizontal="right" vertical="center"/>
    </xf>
    <xf numFmtId="0" fontId="17" fillId="6" borderId="0" xfId="0" applyFont="1" applyFill="1"/>
    <xf numFmtId="0" fontId="14" fillId="6" borderId="0" xfId="0" applyFont="1" applyFill="1" applyBorder="1"/>
    <xf numFmtId="0" fontId="14" fillId="6" borderId="0" xfId="0" applyFont="1" applyFill="1" applyBorder="1" applyAlignment="1">
      <alignment horizontal="center"/>
    </xf>
    <xf numFmtId="0" fontId="29" fillId="6" borderId="0" xfId="0" applyFont="1" applyFill="1" applyAlignment="1">
      <alignment horizontal="center" vertical="center"/>
    </xf>
    <xf numFmtId="2" fontId="29" fillId="6" borderId="19" xfId="0" applyNumberFormat="1" applyFont="1" applyFill="1" applyBorder="1" applyAlignment="1">
      <alignment horizontal="center" vertical="center"/>
    </xf>
    <xf numFmtId="2" fontId="29" fillId="6" borderId="0" xfId="0" applyNumberFormat="1" applyFont="1" applyFill="1" applyAlignment="1">
      <alignment horizontal="center" vertical="center"/>
    </xf>
    <xf numFmtId="168" fontId="1" fillId="6" borderId="0" xfId="0" applyNumberFormat="1" applyFont="1" applyFill="1" applyBorder="1" applyProtection="1"/>
    <xf numFmtId="2" fontId="29" fillId="6" borderId="0" xfId="0" applyNumberFormat="1" applyFont="1" applyFill="1" applyBorder="1" applyAlignment="1">
      <alignment horizontal="center" vertical="center"/>
    </xf>
    <xf numFmtId="165" fontId="29" fillId="6" borderId="0" xfId="0" applyNumberFormat="1" applyFont="1" applyFill="1"/>
    <xf numFmtId="0" fontId="33" fillId="6" borderId="0" xfId="0" applyFont="1" applyFill="1" applyBorder="1" applyAlignment="1">
      <alignment horizontal="right"/>
    </xf>
    <xf numFmtId="2" fontId="29" fillId="6" borderId="18" xfId="0" applyNumberFormat="1" applyFont="1" applyFill="1" applyBorder="1" applyAlignment="1">
      <alignment horizontal="center" vertical="center"/>
    </xf>
    <xf numFmtId="2" fontId="29" fillId="6" borderId="17" xfId="0" applyNumberFormat="1" applyFont="1" applyFill="1" applyBorder="1" applyAlignment="1">
      <alignment horizontal="center" vertical="center"/>
    </xf>
    <xf numFmtId="1" fontId="1" fillId="6" borderId="0" xfId="0" applyNumberFormat="1" applyFont="1" applyFill="1"/>
    <xf numFmtId="165" fontId="1" fillId="6" borderId="0" xfId="0" applyNumberFormat="1" applyFont="1" applyFill="1" applyBorder="1" applyAlignment="1">
      <alignment horizontal="center"/>
    </xf>
    <xf numFmtId="165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29" fillId="6" borderId="20" xfId="0" applyFont="1" applyFill="1" applyBorder="1" applyAlignment="1">
      <alignment horizontal="center" vertical="center"/>
    </xf>
    <xf numFmtId="0" fontId="29" fillId="6" borderId="21" xfId="0" applyFont="1" applyFill="1" applyBorder="1" applyAlignment="1">
      <alignment horizontal="center" vertical="center"/>
    </xf>
    <xf numFmtId="0" fontId="29" fillId="6" borderId="22" xfId="0" applyFont="1" applyFill="1" applyBorder="1" applyAlignment="1">
      <alignment horizontal="center" vertical="center"/>
    </xf>
    <xf numFmtId="166" fontId="1" fillId="6" borderId="0" xfId="0" applyNumberFormat="1" applyFont="1" applyFill="1" applyBorder="1"/>
    <xf numFmtId="0" fontId="22" fillId="6" borderId="0" xfId="0" applyFont="1" applyFill="1" applyBorder="1"/>
    <xf numFmtId="2" fontId="12" fillId="6" borderId="0" xfId="0" applyNumberFormat="1" applyFont="1" applyFill="1"/>
    <xf numFmtId="0" fontId="7" fillId="6" borderId="0" xfId="0" applyFont="1" applyFill="1" applyBorder="1" applyAlignment="1">
      <alignment horizontal="right"/>
    </xf>
    <xf numFmtId="1" fontId="1" fillId="6" borderId="0" xfId="0" applyNumberFormat="1" applyFont="1" applyFill="1" applyBorder="1" applyAlignment="1">
      <alignment horizontal="right"/>
    </xf>
    <xf numFmtId="1" fontId="1" fillId="6" borderId="0" xfId="0" applyNumberFormat="1" applyFont="1" applyFill="1" applyBorder="1" applyAlignment="1">
      <alignment horizontal="left"/>
    </xf>
    <xf numFmtId="1" fontId="1" fillId="6" borderId="0" xfId="0" applyNumberFormat="1" applyFont="1" applyFill="1" applyBorder="1"/>
    <xf numFmtId="166" fontId="29" fillId="6" borderId="0" xfId="0" applyNumberFormat="1" applyFont="1" applyFill="1"/>
    <xf numFmtId="0" fontId="3" fillId="6" borderId="0" xfId="0" applyFont="1" applyFill="1" applyBorder="1"/>
    <xf numFmtId="0" fontId="1" fillId="6" borderId="0" xfId="0" applyFont="1" applyFill="1" applyBorder="1" applyAlignment="1">
      <alignment horizontal="left" vertical="top"/>
    </xf>
    <xf numFmtId="2" fontId="14" fillId="6" borderId="0" xfId="0" applyNumberFormat="1" applyFont="1" applyFill="1" applyBorder="1" applyAlignment="1">
      <alignment horizontal="center"/>
    </xf>
    <xf numFmtId="165" fontId="1" fillId="6" borderId="0" xfId="0" applyNumberFormat="1" applyFont="1" applyFill="1" applyBorder="1"/>
    <xf numFmtId="0" fontId="18" fillId="6" borderId="0" xfId="0" applyFont="1" applyFill="1" applyBorder="1" applyAlignment="1">
      <alignment horizontal="center"/>
    </xf>
    <xf numFmtId="2" fontId="18" fillId="6" borderId="0" xfId="0" applyNumberFormat="1" applyFont="1" applyFill="1" applyBorder="1" applyAlignment="1">
      <alignment horizontal="center"/>
    </xf>
    <xf numFmtId="0" fontId="18" fillId="6" borderId="0" xfId="0" applyFont="1" applyFill="1" applyBorder="1"/>
    <xf numFmtId="2" fontId="18" fillId="6" borderId="3" xfId="0" applyNumberFormat="1" applyFont="1" applyFill="1" applyBorder="1"/>
    <xf numFmtId="165" fontId="18" fillId="6" borderId="1" xfId="0" applyNumberFormat="1" applyFont="1" applyFill="1" applyBorder="1" applyAlignment="1">
      <alignment horizontal="right"/>
    </xf>
    <xf numFmtId="0" fontId="18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right"/>
    </xf>
    <xf numFmtId="2" fontId="18" fillId="6" borderId="1" xfId="0" applyNumberFormat="1" applyFont="1" applyFill="1" applyBorder="1" applyAlignment="1">
      <alignment horizontal="center"/>
    </xf>
    <xf numFmtId="0" fontId="18" fillId="6" borderId="1" xfId="0" applyFont="1" applyFill="1" applyBorder="1"/>
    <xf numFmtId="0" fontId="18" fillId="6" borderId="4" xfId="0" applyFont="1" applyFill="1" applyBorder="1"/>
    <xf numFmtId="2" fontId="18" fillId="6" borderId="5" xfId="0" applyNumberFormat="1" applyFont="1" applyFill="1" applyBorder="1"/>
    <xf numFmtId="165" fontId="18" fillId="6" borderId="2" xfId="0" applyNumberFormat="1" applyFont="1" applyFill="1" applyBorder="1" applyAlignment="1">
      <alignment horizontal="right"/>
    </xf>
    <xf numFmtId="0" fontId="18" fillId="6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right"/>
    </xf>
    <xf numFmtId="2" fontId="18" fillId="6" borderId="2" xfId="0" applyNumberFormat="1" applyFont="1" applyFill="1" applyBorder="1" applyAlignment="1">
      <alignment horizontal="center"/>
    </xf>
    <xf numFmtId="0" fontId="18" fillId="6" borderId="2" xfId="0" applyFont="1" applyFill="1" applyBorder="1"/>
    <xf numFmtId="0" fontId="18" fillId="6" borderId="6" xfId="0" applyFont="1" applyFill="1" applyBorder="1"/>
    <xf numFmtId="2" fontId="18" fillId="6" borderId="11" xfId="0" applyNumberFormat="1" applyFont="1" applyFill="1" applyBorder="1"/>
    <xf numFmtId="165" fontId="18" fillId="6" borderId="12" xfId="0" applyNumberFormat="1" applyFont="1" applyFill="1" applyBorder="1" applyAlignment="1">
      <alignment horizontal="right"/>
    </xf>
    <xf numFmtId="166" fontId="18" fillId="6" borderId="12" xfId="0" applyNumberFormat="1" applyFont="1" applyFill="1" applyBorder="1" applyAlignment="1">
      <alignment horizontal="center"/>
    </xf>
    <xf numFmtId="0" fontId="18" fillId="6" borderId="12" xfId="0" applyFont="1" applyFill="1" applyBorder="1" applyAlignment="1">
      <alignment horizontal="right"/>
    </xf>
    <xf numFmtId="2" fontId="18" fillId="6" borderId="12" xfId="0" applyNumberFormat="1" applyFont="1" applyFill="1" applyBorder="1" applyAlignment="1">
      <alignment horizontal="center"/>
    </xf>
    <xf numFmtId="2" fontId="18" fillId="6" borderId="12" xfId="0" applyNumberFormat="1" applyFont="1" applyFill="1" applyBorder="1"/>
    <xf numFmtId="1" fontId="18" fillId="6" borderId="12" xfId="0" applyNumberFormat="1" applyFont="1" applyFill="1" applyBorder="1" applyAlignment="1">
      <alignment horizontal="right"/>
    </xf>
    <xf numFmtId="0" fontId="18" fillId="6" borderId="12" xfId="0" applyFont="1" applyFill="1" applyBorder="1" applyAlignment="1">
      <alignment horizontal="left"/>
    </xf>
    <xf numFmtId="0" fontId="18" fillId="6" borderId="13" xfId="0" applyFont="1" applyFill="1" applyBorder="1"/>
    <xf numFmtId="2" fontId="18" fillId="6" borderId="0" xfId="0" applyNumberFormat="1" applyFont="1" applyFill="1"/>
    <xf numFmtId="0" fontId="18" fillId="6" borderId="0" xfId="0" applyFont="1" applyFill="1"/>
    <xf numFmtId="1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right"/>
    </xf>
    <xf numFmtId="2" fontId="18" fillId="6" borderId="0" xfId="0" applyNumberFormat="1" applyFont="1" applyFill="1" applyAlignment="1">
      <alignment horizontal="center"/>
    </xf>
    <xf numFmtId="165" fontId="1" fillId="6" borderId="0" xfId="0" applyNumberFormat="1" applyFont="1" applyFill="1" applyBorder="1" applyAlignment="1">
      <alignment horizontal="left"/>
    </xf>
    <xf numFmtId="0" fontId="3" fillId="6" borderId="0" xfId="0" applyFont="1" applyFill="1"/>
    <xf numFmtId="0" fontId="18" fillId="6" borderId="0" xfId="0" applyFont="1" applyFill="1" applyBorder="1" applyAlignment="1">
      <alignment horizontal="right"/>
    </xf>
    <xf numFmtId="0" fontId="18" fillId="6" borderId="0" xfId="0" applyFont="1" applyFill="1" applyBorder="1" applyAlignment="1">
      <alignment horizontal="left"/>
    </xf>
    <xf numFmtId="165" fontId="18" fillId="6" borderId="0" xfId="0" applyNumberFormat="1" applyFont="1" applyFill="1" applyBorder="1"/>
    <xf numFmtId="2" fontId="18" fillId="6" borderId="0" xfId="0" applyNumberFormat="1" applyFont="1" applyFill="1" applyBorder="1" applyAlignment="1">
      <alignment horizontal="right"/>
    </xf>
    <xf numFmtId="0" fontId="18" fillId="6" borderId="0" xfId="0" applyFont="1" applyFill="1" applyAlignment="1">
      <alignment horizontal="center"/>
    </xf>
    <xf numFmtId="2" fontId="18" fillId="6" borderId="0" xfId="0" applyNumberFormat="1" applyFont="1" applyFill="1" applyBorder="1" applyAlignment="1">
      <alignment horizontal="left"/>
    </xf>
    <xf numFmtId="2" fontId="18" fillId="6" borderId="0" xfId="0" applyNumberFormat="1" applyFont="1" applyFill="1" applyBorder="1"/>
    <xf numFmtId="2" fontId="18" fillId="6" borderId="0" xfId="0" applyNumberFormat="1" applyFont="1" applyFill="1" applyBorder="1" applyAlignment="1" applyProtection="1">
      <alignment horizontal="left"/>
    </xf>
    <xf numFmtId="0" fontId="5" fillId="6" borderId="0" xfId="0" applyFont="1" applyFill="1" applyBorder="1"/>
    <xf numFmtId="0" fontId="1" fillId="3" borderId="0" xfId="0" applyFont="1" applyFill="1"/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/>
    <xf numFmtId="0" fontId="16" fillId="3" borderId="0" xfId="0" applyFont="1" applyFill="1" applyBorder="1"/>
    <xf numFmtId="0" fontId="1" fillId="3" borderId="0" xfId="0" applyFont="1" applyFill="1" applyBorder="1"/>
    <xf numFmtId="0" fontId="19" fillId="3" borderId="0" xfId="0" applyFont="1" applyFill="1" applyBorder="1"/>
    <xf numFmtId="0" fontId="1" fillId="3" borderId="0" xfId="0" applyFont="1" applyFill="1" applyAlignment="1">
      <alignment horizontal="right"/>
    </xf>
    <xf numFmtId="0" fontId="17" fillId="3" borderId="0" xfId="0" applyFont="1" applyFill="1" applyBorder="1"/>
    <xf numFmtId="0" fontId="29" fillId="3" borderId="0" xfId="0" applyFont="1" applyFill="1" applyBorder="1" applyAlignment="1">
      <alignment horizontal="right"/>
    </xf>
    <xf numFmtId="0" fontId="14" fillId="3" borderId="0" xfId="0" applyFont="1" applyFill="1"/>
    <xf numFmtId="14" fontId="12" fillId="8" borderId="0" xfId="0" applyNumberFormat="1" applyFont="1" applyFill="1" applyBorder="1" applyAlignment="1">
      <alignment vertical="center"/>
    </xf>
    <xf numFmtId="2" fontId="1" fillId="3" borderId="0" xfId="0" applyNumberFormat="1" applyFont="1" applyFill="1"/>
    <xf numFmtId="2" fontId="18" fillId="4" borderId="7" xfId="0" applyNumberFormat="1" applyFont="1" applyFill="1" applyBorder="1" applyProtection="1">
      <protection locked="0"/>
    </xf>
    <xf numFmtId="2" fontId="18" fillId="4" borderId="8" xfId="0" applyNumberFormat="1" applyFont="1" applyFill="1" applyBorder="1" applyProtection="1">
      <protection locked="0"/>
    </xf>
    <xf numFmtId="0" fontId="18" fillId="4" borderId="9" xfId="0" applyFont="1" applyFill="1" applyBorder="1" applyProtection="1">
      <protection locked="0"/>
    </xf>
    <xf numFmtId="1" fontId="18" fillId="4" borderId="10" xfId="0" applyNumberFormat="1" applyFont="1" applyFill="1" applyBorder="1" applyAlignment="1" applyProtection="1">
      <alignment horizontal="right"/>
      <protection locked="0"/>
    </xf>
    <xf numFmtId="1" fontId="18" fillId="4" borderId="8" xfId="0" applyNumberFormat="1" applyFont="1" applyFill="1" applyBorder="1" applyProtection="1">
      <protection locked="0"/>
    </xf>
    <xf numFmtId="2" fontId="18" fillId="4" borderId="9" xfId="0" applyNumberFormat="1" applyFont="1" applyFill="1" applyBorder="1" applyProtection="1">
      <protection locked="0"/>
    </xf>
    <xf numFmtId="166" fontId="18" fillId="4" borderId="7" xfId="0" applyNumberFormat="1" applyFont="1" applyFill="1" applyBorder="1" applyProtection="1">
      <protection locked="0"/>
    </xf>
    <xf numFmtId="166" fontId="18" fillId="4" borderId="8" xfId="0" applyNumberFormat="1" applyFont="1" applyFill="1" applyBorder="1" applyProtection="1">
      <protection locked="0"/>
    </xf>
    <xf numFmtId="166" fontId="18" fillId="4" borderId="9" xfId="0" applyNumberFormat="1" applyFont="1" applyFill="1" applyBorder="1" applyProtection="1">
      <protection locked="0"/>
    </xf>
    <xf numFmtId="0" fontId="19" fillId="4" borderId="23" xfId="0" applyFont="1" applyFill="1" applyBorder="1" applyAlignment="1">
      <alignment horizontal="right"/>
    </xf>
    <xf numFmtId="0" fontId="19" fillId="4" borderId="24" xfId="0" applyFont="1" applyFill="1" applyBorder="1"/>
    <xf numFmtId="0" fontId="19" fillId="4" borderId="24" xfId="0" applyFont="1" applyFill="1" applyBorder="1" applyAlignment="1">
      <alignment horizontal="right"/>
    </xf>
    <xf numFmtId="2" fontId="19" fillId="4" borderId="24" xfId="0" applyNumberFormat="1" applyFont="1" applyFill="1" applyBorder="1" applyAlignment="1">
      <alignment horizontal="center"/>
    </xf>
    <xf numFmtId="166" fontId="19" fillId="4" borderId="24" xfId="0" applyNumberFormat="1" applyFont="1" applyFill="1" applyBorder="1"/>
    <xf numFmtId="0" fontId="19" fillId="4" borderId="25" xfId="0" applyFont="1" applyFill="1" applyBorder="1"/>
    <xf numFmtId="0" fontId="14" fillId="10" borderId="23" xfId="0" applyFont="1" applyFill="1" applyBorder="1" applyAlignment="1">
      <alignment horizontal="right"/>
    </xf>
    <xf numFmtId="0" fontId="14" fillId="10" borderId="24" xfId="0" applyFont="1" applyFill="1" applyBorder="1"/>
    <xf numFmtId="0" fontId="14" fillId="10" borderId="24" xfId="0" applyFont="1" applyFill="1" applyBorder="1" applyAlignment="1">
      <alignment horizontal="right"/>
    </xf>
    <xf numFmtId="2" fontId="14" fillId="10" borderId="24" xfId="0" applyNumberFormat="1" applyFont="1" applyFill="1" applyBorder="1" applyAlignment="1">
      <alignment horizontal="center"/>
    </xf>
    <xf numFmtId="166" fontId="14" fillId="10" borderId="24" xfId="0" applyNumberFormat="1" applyFont="1" applyFill="1" applyBorder="1"/>
    <xf numFmtId="0" fontId="14" fillId="10" borderId="25" xfId="0" applyFont="1" applyFill="1" applyBorder="1"/>
    <xf numFmtId="0" fontId="19" fillId="11" borderId="23" xfId="0" applyFont="1" applyFill="1" applyBorder="1" applyAlignment="1">
      <alignment horizontal="right"/>
    </xf>
    <xf numFmtId="0" fontId="19" fillId="11" borderId="24" xfId="0" applyFont="1" applyFill="1" applyBorder="1"/>
    <xf numFmtId="0" fontId="19" fillId="11" borderId="24" xfId="0" applyFont="1" applyFill="1" applyBorder="1" applyAlignment="1">
      <alignment horizontal="right"/>
    </xf>
    <xf numFmtId="2" fontId="19" fillId="11" borderId="24" xfId="0" applyNumberFormat="1" applyFont="1" applyFill="1" applyBorder="1" applyAlignment="1">
      <alignment horizontal="right"/>
    </xf>
    <xf numFmtId="2" fontId="19" fillId="11" borderId="24" xfId="0" applyNumberFormat="1" applyFont="1" applyFill="1" applyBorder="1" applyAlignment="1">
      <alignment horizontal="center"/>
    </xf>
    <xf numFmtId="0" fontId="19" fillId="11" borderId="25" xfId="0" applyFont="1" applyFill="1" applyBorder="1"/>
    <xf numFmtId="2" fontId="19" fillId="4" borderId="23" xfId="0" applyNumberFormat="1" applyFont="1" applyFill="1" applyBorder="1" applyAlignment="1">
      <alignment horizontal="left"/>
    </xf>
    <xf numFmtId="2" fontId="19" fillId="4" borderId="24" xfId="0" applyNumberFormat="1" applyFont="1" applyFill="1" applyBorder="1"/>
    <xf numFmtId="1" fontId="19" fillId="4" borderId="24" xfId="0" applyNumberFormat="1" applyFont="1" applyFill="1" applyBorder="1" applyAlignment="1">
      <alignment horizontal="center"/>
    </xf>
    <xf numFmtId="166" fontId="19" fillId="4" borderId="24" xfId="0" applyNumberFormat="1" applyFont="1" applyFill="1" applyBorder="1" applyAlignment="1">
      <alignment horizontal="center"/>
    </xf>
    <xf numFmtId="0" fontId="16" fillId="6" borderId="0" xfId="0" applyFont="1" applyFill="1" applyAlignment="1">
      <alignment horizontal="right"/>
    </xf>
    <xf numFmtId="2" fontId="16" fillId="6" borderId="0" xfId="0" applyNumberFormat="1" applyFont="1" applyFill="1" applyAlignment="1">
      <alignment horizontal="center"/>
    </xf>
    <xf numFmtId="0" fontId="16" fillId="6" borderId="0" xfId="0" applyFont="1" applyFill="1"/>
    <xf numFmtId="2" fontId="17" fillId="6" borderId="0" xfId="0" applyNumberFormat="1" applyFont="1" applyFill="1" applyBorder="1" applyAlignment="1">
      <alignment horizontal="center"/>
    </xf>
    <xf numFmtId="2" fontId="16" fillId="6" borderId="0" xfId="0" applyNumberFormat="1" applyFont="1" applyFill="1" applyBorder="1" applyAlignment="1">
      <alignment horizontal="center"/>
    </xf>
    <xf numFmtId="2" fontId="19" fillId="11" borderId="24" xfId="2" applyNumberFormat="1" applyFont="1" applyFill="1" applyBorder="1" applyAlignment="1">
      <alignment horizontal="left" indent="1"/>
    </xf>
    <xf numFmtId="0" fontId="12" fillId="2" borderId="0" xfId="0" applyFont="1" applyFill="1" applyProtection="1">
      <protection hidden="1"/>
    </xf>
    <xf numFmtId="0" fontId="0" fillId="6" borderId="0" xfId="0" applyFill="1" applyProtection="1">
      <protection hidden="1"/>
    </xf>
    <xf numFmtId="0" fontId="28" fillId="6" borderId="0" xfId="0" applyFont="1" applyFill="1" applyBorder="1" applyProtection="1">
      <protection hidden="1"/>
    </xf>
    <xf numFmtId="2" fontId="12" fillId="6" borderId="0" xfId="0" applyNumberFormat="1" applyFont="1" applyFill="1" applyBorder="1" applyProtection="1">
      <protection hidden="1"/>
    </xf>
    <xf numFmtId="0" fontId="12" fillId="6" borderId="0" xfId="0" applyFont="1" applyFill="1" applyBorder="1" applyProtection="1">
      <protection hidden="1"/>
    </xf>
    <xf numFmtId="0" fontId="0" fillId="3" borderId="17" xfId="0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26" fillId="6" borderId="0" xfId="0" applyFont="1" applyFill="1" applyBorder="1" applyProtection="1"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2" fontId="0" fillId="4" borderId="19" xfId="0" applyNumberFormat="1" applyFill="1" applyBorder="1" applyAlignment="1" applyProtection="1">
      <alignment horizontal="center" vertical="center"/>
      <protection hidden="1"/>
    </xf>
    <xf numFmtId="2" fontId="0" fillId="4" borderId="0" xfId="0" applyNumberFormat="1" applyFill="1" applyAlignment="1" applyProtection="1">
      <alignment horizontal="center" vertical="center"/>
      <protection hidden="1"/>
    </xf>
    <xf numFmtId="2" fontId="26" fillId="6" borderId="0" xfId="0" applyNumberFormat="1" applyFont="1" applyFill="1" applyBorder="1" applyProtection="1">
      <protection hidden="1"/>
    </xf>
    <xf numFmtId="2" fontId="0" fillId="4" borderId="18" xfId="0" applyNumberFormat="1" applyFill="1" applyBorder="1" applyAlignment="1" applyProtection="1">
      <alignment horizontal="center" vertical="center"/>
      <protection hidden="1"/>
    </xf>
    <xf numFmtId="2" fontId="0" fillId="4" borderId="0" xfId="0" applyNumberFormat="1" applyFill="1" applyBorder="1" applyAlignment="1" applyProtection="1">
      <alignment horizontal="center" vertical="center"/>
      <protection hidden="1"/>
    </xf>
    <xf numFmtId="0" fontId="0" fillId="3" borderId="20" xfId="0" applyFill="1" applyBorder="1" applyAlignment="1" applyProtection="1">
      <alignment vertical="center"/>
      <protection hidden="1"/>
    </xf>
    <xf numFmtId="2" fontId="28" fillId="6" borderId="0" xfId="0" applyNumberFormat="1" applyFont="1" applyFill="1" applyBorder="1" applyProtection="1">
      <protection hidden="1"/>
    </xf>
    <xf numFmtId="2" fontId="1" fillId="6" borderId="0" xfId="0" applyNumberFormat="1" applyFont="1" applyFill="1" applyProtection="1">
      <protection hidden="1"/>
    </xf>
    <xf numFmtId="2" fontId="0" fillId="6" borderId="0" xfId="0" applyNumberForma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right" vertical="center"/>
      <protection hidden="1"/>
    </xf>
    <xf numFmtId="2" fontId="1" fillId="6" borderId="0" xfId="0" applyNumberFormat="1" applyFont="1" applyFill="1" applyAlignment="1" applyProtection="1">
      <alignment horizontal="center" vertical="center"/>
      <protection hidden="1"/>
    </xf>
    <xf numFmtId="1" fontId="0" fillId="6" borderId="0" xfId="0" applyNumberForma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left" vertical="center"/>
      <protection hidden="1"/>
    </xf>
    <xf numFmtId="0" fontId="1" fillId="6" borderId="0" xfId="0" applyFont="1" applyFill="1" applyProtection="1">
      <protection hidden="1"/>
    </xf>
    <xf numFmtId="0" fontId="1" fillId="6" borderId="0" xfId="0" applyFont="1" applyFill="1" applyAlignment="1" applyProtection="1">
      <alignment horizontal="left"/>
      <protection hidden="1"/>
    </xf>
    <xf numFmtId="2" fontId="18" fillId="4" borderId="10" xfId="0" applyNumberFormat="1" applyFont="1" applyFill="1" applyBorder="1" applyProtection="1">
      <protection locked="0"/>
    </xf>
    <xf numFmtId="2" fontId="0" fillId="4" borderId="21" xfId="0" applyNumberForma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right" vertical="center"/>
      <protection hidden="1"/>
    </xf>
    <xf numFmtId="2" fontId="1" fillId="4" borderId="0" xfId="0" applyNumberFormat="1" applyFont="1" applyFill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1" fontId="0" fillId="4" borderId="0" xfId="0" applyNumberFormat="1" applyFill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2" fillId="2" borderId="0" xfId="0" applyFont="1" applyFill="1" applyProtection="1"/>
    <xf numFmtId="0" fontId="0" fillId="6" borderId="0" xfId="0" applyFill="1" applyProtection="1"/>
    <xf numFmtId="0" fontId="28" fillId="6" borderId="0" xfId="0" applyFont="1" applyFill="1" applyBorder="1" applyProtection="1"/>
    <xf numFmtId="2" fontId="12" fillId="6" borderId="0" xfId="0" applyNumberFormat="1" applyFont="1" applyFill="1" applyBorder="1" applyProtection="1"/>
    <xf numFmtId="0" fontId="12" fillId="6" borderId="0" xfId="0" applyFont="1" applyFill="1" applyBorder="1" applyProtection="1"/>
    <xf numFmtId="0" fontId="0" fillId="3" borderId="17" xfId="0" applyFill="1" applyBorder="1" applyAlignment="1" applyProtection="1">
      <alignment vertical="center"/>
    </xf>
    <xf numFmtId="0" fontId="0" fillId="4" borderId="17" xfId="0" applyFill="1" applyBorder="1" applyAlignment="1" applyProtection="1">
      <alignment horizontal="center" vertical="center"/>
    </xf>
    <xf numFmtId="0" fontId="26" fillId="6" borderId="0" xfId="0" applyFont="1" applyFill="1" applyBorder="1" applyProtection="1"/>
    <xf numFmtId="0" fontId="1" fillId="3" borderId="0" xfId="0" applyFont="1" applyFill="1" applyAlignment="1" applyProtection="1">
      <alignment horizontal="center" vertical="center"/>
    </xf>
    <xf numFmtId="2" fontId="0" fillId="4" borderId="19" xfId="0" applyNumberFormat="1" applyFill="1" applyBorder="1" applyAlignment="1" applyProtection="1">
      <alignment horizontal="center" vertical="center"/>
    </xf>
    <xf numFmtId="2" fontId="0" fillId="4" borderId="0" xfId="0" applyNumberFormat="1" applyFill="1" applyAlignment="1" applyProtection="1">
      <alignment horizontal="center" vertical="center"/>
    </xf>
    <xf numFmtId="2" fontId="26" fillId="6" borderId="0" xfId="0" applyNumberFormat="1" applyFont="1" applyFill="1" applyBorder="1" applyProtection="1"/>
    <xf numFmtId="2" fontId="0" fillId="4" borderId="18" xfId="0" applyNumberFormat="1" applyFill="1" applyBorder="1" applyAlignment="1" applyProtection="1">
      <alignment horizontal="center" vertical="center"/>
    </xf>
    <xf numFmtId="2" fontId="0" fillId="4" borderId="0" xfId="0" applyNumberForma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vertical="center"/>
    </xf>
    <xf numFmtId="0" fontId="0" fillId="4" borderId="21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2" fontId="28" fillId="6" borderId="0" xfId="0" applyNumberFormat="1" applyFont="1" applyFill="1" applyBorder="1" applyProtection="1"/>
    <xf numFmtId="2" fontId="1" fillId="6" borderId="0" xfId="0" applyNumberFormat="1" applyFont="1" applyFill="1" applyProtection="1"/>
    <xf numFmtId="0" fontId="1" fillId="6" borderId="0" xfId="0" applyFont="1" applyFill="1" applyAlignment="1" applyProtection="1">
      <alignment horizontal="left" vertical="center"/>
    </xf>
    <xf numFmtId="2" fontId="0" fillId="6" borderId="0" xfId="0" applyNumberFormat="1" applyFill="1" applyAlignment="1" applyProtection="1">
      <alignment horizontal="center" vertical="center"/>
    </xf>
    <xf numFmtId="0" fontId="1" fillId="6" borderId="0" xfId="0" applyFont="1" applyFill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1" fillId="6" borderId="0" xfId="0" applyFont="1" applyFill="1" applyAlignment="1" applyProtection="1">
      <alignment horizontal="right" vertical="center"/>
    </xf>
    <xf numFmtId="2" fontId="1" fillId="6" borderId="0" xfId="0" applyNumberFormat="1" applyFont="1" applyFill="1" applyAlignment="1" applyProtection="1">
      <alignment horizontal="center" vertical="center"/>
    </xf>
    <xf numFmtId="1" fontId="0" fillId="6" borderId="0" xfId="0" applyNumberFormat="1" applyFill="1" applyAlignment="1" applyProtection="1">
      <alignment horizontal="center" vertical="center"/>
    </xf>
    <xf numFmtId="0" fontId="1" fillId="6" borderId="0" xfId="0" applyFont="1" applyFill="1" applyAlignment="1" applyProtection="1">
      <alignment horizontal="left"/>
    </xf>
    <xf numFmtId="0" fontId="1" fillId="6" borderId="0" xfId="0" applyFont="1" applyFill="1" applyProtection="1"/>
    <xf numFmtId="0" fontId="15" fillId="4" borderId="23" xfId="0" applyFont="1" applyFill="1" applyBorder="1" applyAlignment="1" applyProtection="1">
      <alignment horizontal="right" vertical="center"/>
    </xf>
    <xf numFmtId="2" fontId="15" fillId="4" borderId="24" xfId="0" applyNumberFormat="1" applyFont="1" applyFill="1" applyBorder="1" applyAlignment="1" applyProtection="1">
      <alignment horizontal="center" vertical="center"/>
    </xf>
    <xf numFmtId="0" fontId="15" fillId="4" borderId="24" xfId="0" applyFont="1" applyFill="1" applyBorder="1" applyAlignment="1" applyProtection="1">
      <alignment horizontal="left" vertical="center"/>
    </xf>
    <xf numFmtId="0" fontId="15" fillId="4" borderId="24" xfId="0" applyFont="1" applyFill="1" applyBorder="1" applyProtection="1"/>
    <xf numFmtId="0" fontId="15" fillId="4" borderId="25" xfId="0" applyFont="1" applyFill="1" applyBorder="1" applyAlignment="1" applyProtection="1">
      <alignment horizontal="left" vertical="center"/>
    </xf>
    <xf numFmtId="0" fontId="39" fillId="6" borderId="0" xfId="3" applyFont="1" applyFill="1" applyBorder="1" applyAlignment="1" applyProtection="1">
      <alignment vertical="center"/>
    </xf>
    <xf numFmtId="0" fontId="40" fillId="6" borderId="0" xfId="3" applyFont="1" applyFill="1" applyBorder="1" applyAlignment="1" applyProtection="1">
      <alignment vertical="center"/>
      <protection locked="0"/>
    </xf>
    <xf numFmtId="0" fontId="12" fillId="6" borderId="0" xfId="0" applyFont="1" applyFill="1" applyBorder="1" applyAlignment="1" applyProtection="1">
      <alignment vertical="center"/>
    </xf>
    <xf numFmtId="0" fontId="42" fillId="6" borderId="0" xfId="0" applyFont="1" applyFill="1" applyBorder="1"/>
    <xf numFmtId="0" fontId="42" fillId="6" borderId="0" xfId="0" applyFont="1" applyFill="1" applyBorder="1" applyAlignment="1">
      <alignment horizontal="right"/>
    </xf>
    <xf numFmtId="2" fontId="42" fillId="6" borderId="0" xfId="0" applyNumberFormat="1" applyFont="1" applyFill="1"/>
    <xf numFmtId="0" fontId="42" fillId="6" borderId="0" xfId="0" applyFont="1" applyFill="1"/>
    <xf numFmtId="2" fontId="42" fillId="6" borderId="0" xfId="0" applyNumberFormat="1" applyFont="1" applyFill="1" applyBorder="1"/>
    <xf numFmtId="2" fontId="42" fillId="6" borderId="0" xfId="0" applyNumberFormat="1" applyFont="1" applyFill="1" applyBorder="1" applyAlignment="1">
      <alignment horizontal="right"/>
    </xf>
    <xf numFmtId="0" fontId="41" fillId="6" borderId="0" xfId="0" applyFont="1" applyFill="1"/>
    <xf numFmtId="0" fontId="42" fillId="6" borderId="0" xfId="0" applyFont="1" applyFill="1" applyAlignment="1">
      <alignment horizontal="right"/>
    </xf>
    <xf numFmtId="0" fontId="42" fillId="6" borderId="0" xfId="0" applyFont="1" applyFill="1" applyBorder="1" applyAlignment="1">
      <alignment horizontal="right" vertical="center"/>
    </xf>
    <xf numFmtId="165" fontId="42" fillId="6" borderId="0" xfId="0" applyNumberFormat="1" applyFont="1" applyFill="1"/>
    <xf numFmtId="0" fontId="45" fillId="6" borderId="0" xfId="0" applyFont="1" applyFill="1" applyBorder="1" applyAlignment="1">
      <alignment horizontal="right"/>
    </xf>
    <xf numFmtId="166" fontId="42" fillId="6" borderId="0" xfId="0" applyNumberFormat="1" applyFont="1" applyFill="1"/>
    <xf numFmtId="0" fontId="42" fillId="6" borderId="0" xfId="0" applyFont="1" applyFill="1" applyBorder="1" applyAlignment="1">
      <alignment horizontal="left"/>
    </xf>
    <xf numFmtId="0" fontId="1" fillId="0" borderId="24" xfId="0" applyFont="1" applyFill="1" applyBorder="1"/>
    <xf numFmtId="2" fontId="16" fillId="6" borderId="0" xfId="0" applyNumberFormat="1" applyFont="1" applyFill="1" applyBorder="1" applyAlignment="1">
      <alignment horizontal="right"/>
    </xf>
    <xf numFmtId="1" fontId="19" fillId="4" borderId="24" xfId="0" applyNumberFormat="1" applyFont="1" applyFill="1" applyBorder="1" applyAlignment="1">
      <alignment horizontal="right"/>
    </xf>
    <xf numFmtId="2" fontId="16" fillId="6" borderId="0" xfId="0" applyNumberFormat="1" applyFont="1" applyFill="1" applyBorder="1" applyAlignment="1" applyProtection="1">
      <alignment horizontal="right"/>
    </xf>
    <xf numFmtId="2" fontId="16" fillId="6" borderId="0" xfId="0" applyNumberFormat="1" applyFont="1" applyFill="1" applyBorder="1" applyProtection="1"/>
    <xf numFmtId="0" fontId="16" fillId="6" borderId="0" xfId="0" applyFont="1" applyFill="1" applyBorder="1" applyProtection="1"/>
    <xf numFmtId="168" fontId="16" fillId="6" borderId="0" xfId="0" applyNumberFormat="1" applyFont="1" applyFill="1" applyBorder="1" applyProtection="1"/>
    <xf numFmtId="0" fontId="50" fillId="6" borderId="0" xfId="0" applyFont="1" applyFill="1" applyBorder="1" applyAlignment="1" applyProtection="1">
      <alignment vertical="center"/>
    </xf>
    <xf numFmtId="2" fontId="54" fillId="4" borderId="7" xfId="0" applyNumberFormat="1" applyFont="1" applyFill="1" applyBorder="1" applyProtection="1">
      <protection locked="0"/>
    </xf>
    <xf numFmtId="1" fontId="54" fillId="4" borderId="8" xfId="0" applyNumberFormat="1" applyFont="1" applyFill="1" applyBorder="1" applyProtection="1">
      <protection locked="0"/>
    </xf>
    <xf numFmtId="2" fontId="54" fillId="4" borderId="8" xfId="0" applyNumberFormat="1" applyFont="1" applyFill="1" applyBorder="1" applyProtection="1">
      <protection locked="0"/>
    </xf>
    <xf numFmtId="2" fontId="54" fillId="4" borderId="9" xfId="0" applyNumberFormat="1" applyFont="1" applyFill="1" applyBorder="1" applyProtection="1">
      <protection locked="0"/>
    </xf>
    <xf numFmtId="0" fontId="42" fillId="6" borderId="0" xfId="0" applyFont="1" applyFill="1" applyProtection="1"/>
    <xf numFmtId="0" fontId="50" fillId="8" borderId="0" xfId="0" applyFont="1" applyFill="1" applyBorder="1" applyAlignment="1" applyProtection="1">
      <alignment vertical="center"/>
    </xf>
    <xf numFmtId="2" fontId="50" fillId="8" borderId="0" xfId="0" applyNumberFormat="1" applyFont="1" applyFill="1" applyBorder="1" applyAlignment="1" applyProtection="1">
      <alignment vertical="center"/>
    </xf>
    <xf numFmtId="0" fontId="34" fillId="6" borderId="0" xfId="0" applyFont="1" applyFill="1" applyProtection="1"/>
    <xf numFmtId="0" fontId="0" fillId="0" borderId="0" xfId="0" applyProtection="1"/>
    <xf numFmtId="0" fontId="16" fillId="6" borderId="0" xfId="0" applyFont="1" applyFill="1" applyBorder="1" applyAlignment="1" applyProtection="1">
      <alignment vertical="center"/>
    </xf>
    <xf numFmtId="2" fontId="51" fillId="6" borderId="0" xfId="0" applyNumberFormat="1" applyFont="1" applyFill="1" applyBorder="1" applyProtection="1"/>
    <xf numFmtId="2" fontId="52" fillId="6" borderId="0" xfId="0" applyNumberFormat="1" applyFont="1" applyFill="1" applyProtection="1"/>
    <xf numFmtId="0" fontId="53" fillId="6" borderId="0" xfId="0" applyFont="1" applyFill="1" applyBorder="1" applyProtection="1"/>
    <xf numFmtId="0" fontId="52" fillId="6" borderId="0" xfId="0" applyFont="1" applyFill="1" applyBorder="1" applyProtection="1"/>
    <xf numFmtId="0" fontId="53" fillId="6" borderId="0" xfId="0" applyFont="1" applyFill="1" applyBorder="1" applyAlignment="1" applyProtection="1">
      <alignment horizontal="right"/>
    </xf>
    <xf numFmtId="0" fontId="55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Protection="1"/>
    <xf numFmtId="0" fontId="34" fillId="6" borderId="0" xfId="0" applyFont="1" applyFill="1" applyBorder="1" applyProtection="1"/>
    <xf numFmtId="0" fontId="52" fillId="6" borderId="0" xfId="0" applyFont="1" applyFill="1" applyBorder="1" applyAlignment="1" applyProtection="1">
      <alignment horizontal="left"/>
    </xf>
    <xf numFmtId="1" fontId="1" fillId="6" borderId="0" xfId="0" applyNumberFormat="1" applyFont="1" applyFill="1" applyAlignment="1" applyProtection="1">
      <alignment horizontal="center" vertical="center"/>
    </xf>
    <xf numFmtId="0" fontId="52" fillId="6" borderId="0" xfId="0" applyFont="1" applyFill="1" applyProtection="1"/>
    <xf numFmtId="0" fontId="16" fillId="6" borderId="0" xfId="0" applyFont="1" applyFill="1" applyBorder="1" applyAlignment="1" applyProtection="1">
      <alignment horizontal="right"/>
    </xf>
    <xf numFmtId="0" fontId="1" fillId="6" borderId="0" xfId="0" applyFont="1" applyFill="1" applyBorder="1" applyAlignment="1" applyProtection="1">
      <alignment horizontal="right"/>
    </xf>
    <xf numFmtId="0" fontId="42" fillId="6" borderId="0" xfId="0" applyFont="1" applyFill="1" applyBorder="1" applyProtection="1"/>
    <xf numFmtId="0" fontId="42" fillId="6" borderId="0" xfId="0" applyFont="1" applyFill="1" applyBorder="1" applyAlignment="1" applyProtection="1">
      <alignment horizontal="left"/>
    </xf>
    <xf numFmtId="0" fontId="42" fillId="6" borderId="0" xfId="0" applyFont="1" applyFill="1" applyBorder="1" applyAlignment="1" applyProtection="1">
      <alignment horizontal="right"/>
    </xf>
    <xf numFmtId="0" fontId="52" fillId="6" borderId="0" xfId="0" applyFont="1" applyFill="1" applyAlignment="1" applyProtection="1">
      <alignment horizontal="left" vertical="center"/>
    </xf>
    <xf numFmtId="0" fontId="12" fillId="7" borderId="3" xfId="0" applyFont="1" applyFill="1" applyBorder="1" applyAlignment="1" applyProtection="1">
      <alignment horizontal="left" vertical="center"/>
    </xf>
    <xf numFmtId="2" fontId="50" fillId="7" borderId="1" xfId="0" applyNumberFormat="1" applyFont="1" applyFill="1" applyBorder="1" applyAlignment="1" applyProtection="1">
      <alignment horizontal="right"/>
    </xf>
    <xf numFmtId="165" fontId="50" fillId="7" borderId="4" xfId="0" applyNumberFormat="1" applyFont="1" applyFill="1" applyBorder="1" applyAlignment="1" applyProtection="1">
      <alignment horizontal="left"/>
    </xf>
    <xf numFmtId="2" fontId="29" fillId="6" borderId="0" xfId="0" applyNumberFormat="1" applyFont="1" applyFill="1" applyAlignment="1" applyProtection="1">
      <alignment horizontal="center" vertical="center"/>
    </xf>
    <xf numFmtId="2" fontId="42" fillId="6" borderId="0" xfId="0" applyNumberFormat="1" applyFont="1" applyFill="1" applyBorder="1" applyAlignment="1" applyProtection="1">
      <alignment horizontal="right"/>
    </xf>
    <xf numFmtId="0" fontId="12" fillId="7" borderId="5" xfId="0" applyFont="1" applyFill="1" applyBorder="1" applyAlignment="1" applyProtection="1">
      <alignment horizontal="left" vertical="center"/>
    </xf>
    <xf numFmtId="2" fontId="50" fillId="7" borderId="2" xfId="0" applyNumberFormat="1" applyFont="1" applyFill="1" applyBorder="1" applyAlignment="1" applyProtection="1">
      <alignment horizontal="right"/>
    </xf>
    <xf numFmtId="165" fontId="50" fillId="7" borderId="6" xfId="0" applyNumberFormat="1" applyFont="1" applyFill="1" applyBorder="1" applyAlignment="1" applyProtection="1">
      <alignment horizontal="left"/>
    </xf>
    <xf numFmtId="2" fontId="29" fillId="6" borderId="0" xfId="0" applyNumberFormat="1" applyFont="1" applyFill="1" applyBorder="1" applyAlignment="1" applyProtection="1">
      <alignment horizontal="center" vertical="center"/>
    </xf>
    <xf numFmtId="0" fontId="41" fillId="6" borderId="0" xfId="0" applyFont="1" applyFill="1" applyProtection="1"/>
    <xf numFmtId="0" fontId="45" fillId="6" borderId="0" xfId="0" applyFont="1" applyFill="1" applyBorder="1" applyAlignment="1" applyProtection="1">
      <alignment horizontal="right"/>
    </xf>
    <xf numFmtId="0" fontId="17" fillId="6" borderId="0" xfId="0" applyFont="1" applyFill="1" applyBorder="1" applyProtection="1"/>
    <xf numFmtId="0" fontId="29" fillId="6" borderId="0" xfId="0" applyFont="1" applyFill="1" applyBorder="1" applyAlignment="1" applyProtection="1">
      <alignment horizontal="right"/>
    </xf>
    <xf numFmtId="2" fontId="16" fillId="6" borderId="0" xfId="0" applyNumberFormat="1" applyFont="1" applyFill="1" applyBorder="1" applyAlignment="1" applyProtection="1">
      <alignment horizontal="left"/>
    </xf>
    <xf numFmtId="0" fontId="16" fillId="6" borderId="0" xfId="0" applyFont="1" applyFill="1" applyProtection="1"/>
    <xf numFmtId="168" fontId="16" fillId="6" borderId="0" xfId="0" applyNumberFormat="1" applyFont="1" applyFill="1" applyBorder="1" applyAlignment="1" applyProtection="1">
      <alignment horizontal="right"/>
    </xf>
    <xf numFmtId="1" fontId="16" fillId="6" borderId="0" xfId="0" applyNumberFormat="1" applyFont="1" applyFill="1" applyProtection="1"/>
    <xf numFmtId="165" fontId="16" fillId="6" borderId="0" xfId="0" applyNumberFormat="1" applyFont="1" applyFill="1" applyBorder="1" applyAlignment="1" applyProtection="1">
      <alignment horizontal="center"/>
    </xf>
    <xf numFmtId="165" fontId="16" fillId="6" borderId="0" xfId="0" applyNumberFormat="1" applyFont="1" applyFill="1" applyProtection="1"/>
    <xf numFmtId="0" fontId="16" fillId="6" borderId="0" xfId="0" applyFont="1" applyFill="1" applyBorder="1" applyAlignment="1" applyProtection="1">
      <alignment horizontal="left"/>
    </xf>
    <xf numFmtId="165" fontId="16" fillId="6" borderId="0" xfId="0" applyNumberFormat="1" applyFont="1" applyFill="1" applyAlignment="1" applyProtection="1">
      <alignment horizontal="left"/>
    </xf>
    <xf numFmtId="0" fontId="46" fillId="6" borderId="0" xfId="0" applyFont="1" applyFill="1" applyBorder="1" applyAlignment="1" applyProtection="1">
      <alignment horizontal="right"/>
    </xf>
    <xf numFmtId="0" fontId="16" fillId="6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left" vertical="center"/>
    </xf>
    <xf numFmtId="2" fontId="6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vertical="center"/>
    </xf>
    <xf numFmtId="2" fontId="0" fillId="0" borderId="0" xfId="0" applyNumberFormat="1" applyFill="1" applyBorder="1" applyAlignment="1">
      <alignment horizontal="right" vertical="center"/>
    </xf>
    <xf numFmtId="2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6" borderId="0" xfId="0" applyNumberFormat="1" applyFont="1" applyFill="1" applyBorder="1" applyProtection="1"/>
    <xf numFmtId="0" fontId="1" fillId="6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9" fillId="0" borderId="17" xfId="0" applyFont="1" applyFill="1" applyBorder="1" applyAlignment="1">
      <alignment horizontal="right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2" fontId="29" fillId="0" borderId="19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2" fontId="29" fillId="0" borderId="18" xfId="0" applyNumberFormat="1" applyFont="1" applyFill="1" applyBorder="1" applyAlignment="1">
      <alignment horizontal="center" vertical="center"/>
    </xf>
    <xf numFmtId="2" fontId="29" fillId="0" borderId="17" xfId="0" applyNumberFormat="1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right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9" fillId="0" borderId="0" xfId="0" applyFont="1" applyFill="1" applyBorder="1"/>
    <xf numFmtId="0" fontId="6" fillId="12" borderId="0" xfId="0" applyFont="1" applyFill="1" applyBorder="1" applyAlignment="1">
      <alignment horizontal="left"/>
    </xf>
    <xf numFmtId="0" fontId="1" fillId="12" borderId="0" xfId="0" applyFont="1" applyFill="1" applyBorder="1"/>
    <xf numFmtId="0" fontId="1" fillId="12" borderId="0" xfId="0" applyFont="1" applyFill="1" applyBorder="1" applyAlignment="1">
      <alignment horizontal="right"/>
    </xf>
    <xf numFmtId="0" fontId="6" fillId="9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35" fillId="8" borderId="1" xfId="0" applyFont="1" applyFill="1" applyBorder="1"/>
    <xf numFmtId="0" fontId="0" fillId="0" borderId="26" xfId="0" applyFill="1" applyBorder="1"/>
    <xf numFmtId="0" fontId="0" fillId="0" borderId="28" xfId="0" applyFill="1" applyBorder="1"/>
    <xf numFmtId="0" fontId="0" fillId="0" borderId="28" xfId="0" applyFill="1" applyBorder="1" applyAlignment="1">
      <alignment vertical="center"/>
    </xf>
    <xf numFmtId="2" fontId="0" fillId="0" borderId="0" xfId="0" applyNumberFormat="1" applyFill="1" applyBorder="1" applyAlignment="1">
      <alignment horizontal="center"/>
    </xf>
    <xf numFmtId="0" fontId="29" fillId="0" borderId="0" xfId="0" applyFont="1" applyFill="1" applyBorder="1" applyAlignment="1">
      <alignment horizontal="right" vertical="center"/>
    </xf>
    <xf numFmtId="0" fontId="1" fillId="9" borderId="0" xfId="0" applyFont="1" applyFill="1" applyBorder="1"/>
    <xf numFmtId="0" fontId="1" fillId="9" borderId="0" xfId="0" applyFont="1" applyFill="1" applyBorder="1" applyAlignment="1">
      <alignment horizontal="center"/>
    </xf>
    <xf numFmtId="0" fontId="1" fillId="0" borderId="28" xfId="0" applyFont="1" applyFill="1" applyBorder="1"/>
    <xf numFmtId="0" fontId="0" fillId="0" borderId="5" xfId="0" applyFill="1" applyBorder="1"/>
    <xf numFmtId="0" fontId="29" fillId="3" borderId="14" xfId="0" applyFont="1" applyFill="1" applyBorder="1" applyAlignment="1">
      <alignment horizontal="right" vertical="center"/>
    </xf>
    <xf numFmtId="0" fontId="29" fillId="3" borderId="15" xfId="0" applyFont="1" applyFill="1" applyBorder="1" applyAlignment="1">
      <alignment horizontal="left" vertical="center"/>
    </xf>
    <xf numFmtId="0" fontId="29" fillId="3" borderId="15" xfId="0" applyFont="1" applyFill="1" applyBorder="1" applyAlignment="1">
      <alignment vertical="center"/>
    </xf>
    <xf numFmtId="2" fontId="29" fillId="3" borderId="15" xfId="0" applyNumberFormat="1" applyFont="1" applyFill="1" applyBorder="1" applyAlignment="1">
      <alignment vertical="center"/>
    </xf>
    <xf numFmtId="0" fontId="29" fillId="3" borderId="15" xfId="0" applyFont="1" applyFill="1" applyBorder="1" applyAlignment="1">
      <alignment horizontal="center" vertical="center"/>
    </xf>
    <xf numFmtId="0" fontId="29" fillId="3" borderId="27" xfId="0" applyFont="1" applyFill="1" applyBorder="1"/>
    <xf numFmtId="0" fontId="29" fillId="3" borderId="16" xfId="0" applyFont="1" applyFill="1" applyBorder="1" applyAlignment="1">
      <alignment horizontal="right" vertical="center"/>
    </xf>
    <xf numFmtId="0" fontId="29" fillId="3" borderId="17" xfId="0" applyFont="1" applyFill="1" applyBorder="1" applyAlignment="1">
      <alignment horizontal="left" vertical="center"/>
    </xf>
    <xf numFmtId="0" fontId="29" fillId="3" borderId="17" xfId="0" applyFont="1" applyFill="1" applyBorder="1" applyAlignment="1">
      <alignment vertical="center"/>
    </xf>
    <xf numFmtId="2" fontId="29" fillId="3" borderId="17" xfId="0" applyNumberFormat="1" applyFont="1" applyFill="1" applyBorder="1" applyAlignment="1">
      <alignment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18" xfId="0" applyFont="1" applyFill="1" applyBorder="1"/>
    <xf numFmtId="0" fontId="29" fillId="9" borderId="23" xfId="0" applyFont="1" applyFill="1" applyBorder="1" applyAlignment="1">
      <alignment horizontal="right"/>
    </xf>
    <xf numFmtId="0" fontId="29" fillId="9" borderId="24" xfId="0" applyFont="1" applyFill="1" applyBorder="1" applyAlignment="1">
      <alignment horizontal="right"/>
    </xf>
    <xf numFmtId="2" fontId="29" fillId="9" borderId="24" xfId="0" applyNumberFormat="1" applyFont="1" applyFill="1" applyBorder="1" applyAlignment="1">
      <alignment horizontal="right"/>
    </xf>
    <xf numFmtId="2" fontId="29" fillId="9" borderId="24" xfId="0" applyNumberFormat="1" applyFont="1" applyFill="1" applyBorder="1"/>
    <xf numFmtId="0" fontId="29" fillId="9" borderId="25" xfId="0" applyFont="1" applyFill="1" applyBorder="1" applyAlignment="1">
      <alignment vertical="center"/>
    </xf>
    <xf numFmtId="2" fontId="29" fillId="12" borderId="23" xfId="0" applyNumberFormat="1" applyFont="1" applyFill="1" applyBorder="1" applyAlignment="1">
      <alignment horizontal="right"/>
    </xf>
    <xf numFmtId="0" fontId="29" fillId="12" borderId="24" xfId="0" applyFont="1" applyFill="1" applyBorder="1" applyAlignment="1">
      <alignment horizontal="right"/>
    </xf>
    <xf numFmtId="166" fontId="29" fillId="12" borderId="24" xfId="0" applyNumberFormat="1" applyFont="1" applyFill="1" applyBorder="1"/>
    <xf numFmtId="0" fontId="29" fillId="12" borderId="24" xfId="0" applyFont="1" applyFill="1" applyBorder="1" applyAlignment="1">
      <alignment horizontal="center"/>
    </xf>
    <xf numFmtId="2" fontId="29" fillId="12" borderId="24" xfId="0" applyNumberFormat="1" applyFont="1" applyFill="1" applyBorder="1"/>
    <xf numFmtId="0" fontId="29" fillId="12" borderId="24" xfId="0" applyNumberFormat="1" applyFont="1" applyFill="1" applyBorder="1"/>
    <xf numFmtId="0" fontId="29" fillId="12" borderId="24" xfId="0" applyFont="1" applyFill="1" applyBorder="1"/>
    <xf numFmtId="166" fontId="29" fillId="12" borderId="24" xfId="0" applyNumberFormat="1" applyFont="1" applyFill="1" applyBorder="1" applyAlignment="1">
      <alignment horizontal="center"/>
    </xf>
    <xf numFmtId="0" fontId="29" fillId="12" borderId="25" xfId="0" applyFont="1" applyFill="1" applyBorder="1"/>
    <xf numFmtId="2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/>
    <xf numFmtId="2" fontId="29" fillId="3" borderId="0" xfId="0" applyNumberFormat="1" applyFont="1" applyFill="1" applyBorder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vertical="center"/>
    </xf>
    <xf numFmtId="0" fontId="29" fillId="3" borderId="0" xfId="0" applyFont="1" applyFill="1" applyBorder="1"/>
    <xf numFmtId="2" fontId="29" fillId="0" borderId="0" xfId="0" applyNumberFormat="1" applyFont="1" applyFill="1" applyBorder="1" applyAlignment="1">
      <alignment vertical="center"/>
    </xf>
    <xf numFmtId="165" fontId="29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2" fontId="29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vertical="center"/>
    </xf>
    <xf numFmtId="0" fontId="35" fillId="8" borderId="3" xfId="0" applyFont="1" applyFill="1" applyBorder="1" applyAlignment="1">
      <alignment vertical="center"/>
    </xf>
    <xf numFmtId="0" fontId="29" fillId="0" borderId="28" xfId="0" applyFont="1" applyFill="1" applyBorder="1" applyAlignment="1">
      <alignment horizontal="right"/>
    </xf>
    <xf numFmtId="1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165" fontId="1" fillId="6" borderId="0" xfId="0" applyNumberFormat="1" applyFont="1" applyFill="1" applyAlignment="1">
      <alignment horizontal="center"/>
    </xf>
    <xf numFmtId="14" fontId="57" fillId="0" borderId="6" xfId="0" applyNumberFormat="1" applyFont="1" applyFill="1" applyBorder="1" applyAlignment="1">
      <alignment vertical="center"/>
    </xf>
    <xf numFmtId="1" fontId="18" fillId="5" borderId="10" xfId="0" applyNumberFormat="1" applyFont="1" applyFill="1" applyBorder="1" applyAlignment="1" applyProtection="1">
      <alignment horizontal="right"/>
      <protection locked="0"/>
    </xf>
    <xf numFmtId="0" fontId="58" fillId="6" borderId="0" xfId="0" applyFont="1" applyFill="1" applyAlignment="1">
      <alignment horizontal="right"/>
    </xf>
    <xf numFmtId="2" fontId="59" fillId="6" borderId="0" xfId="0" applyNumberFormat="1" applyFont="1" applyFill="1" applyAlignment="1">
      <alignment horizontal="right" vertical="center"/>
    </xf>
    <xf numFmtId="2" fontId="19" fillId="4" borderId="10" xfId="0" applyNumberFormat="1" applyFont="1" applyFill="1" applyBorder="1" applyAlignment="1" applyProtection="1">
      <alignment horizontal="center"/>
    </xf>
    <xf numFmtId="2" fontId="19" fillId="5" borderId="24" xfId="0" applyNumberFormat="1" applyFont="1" applyFill="1" applyBorder="1" applyAlignment="1">
      <alignment horizontal="right"/>
    </xf>
    <xf numFmtId="0" fontId="20" fillId="6" borderId="0" xfId="0" applyFont="1" applyFill="1" applyBorder="1" applyAlignment="1">
      <alignment horizontal="right"/>
    </xf>
    <xf numFmtId="0" fontId="20" fillId="6" borderId="0" xfId="0" applyFont="1" applyFill="1" applyBorder="1"/>
    <xf numFmtId="0" fontId="60" fillId="6" borderId="0" xfId="0" applyFont="1" applyFill="1"/>
    <xf numFmtId="166" fontId="14" fillId="10" borderId="24" xfId="0" applyNumberFormat="1" applyFont="1" applyFill="1" applyBorder="1" applyAlignment="1">
      <alignment horizontal="center"/>
    </xf>
    <xf numFmtId="2" fontId="19" fillId="11" borderId="24" xfId="2" applyNumberFormat="1" applyFont="1" applyFill="1" applyBorder="1" applyAlignment="1">
      <alignment horizontal="center"/>
    </xf>
    <xf numFmtId="166" fontId="29" fillId="6" borderId="0" xfId="0" applyNumberFormat="1" applyFont="1" applyFill="1" applyAlignment="1">
      <alignment horizontal="center"/>
    </xf>
    <xf numFmtId="2" fontId="34" fillId="6" borderId="0" xfId="0" applyNumberFormat="1" applyFont="1" applyFill="1"/>
    <xf numFmtId="0" fontId="61" fillId="6" borderId="0" xfId="0" applyFont="1" applyFill="1"/>
    <xf numFmtId="2" fontId="14" fillId="6" borderId="0" xfId="0" applyNumberFormat="1" applyFont="1" applyFill="1" applyBorder="1" applyAlignment="1" applyProtection="1">
      <alignment horizontal="right"/>
    </xf>
    <xf numFmtId="0" fontId="14" fillId="6" borderId="0" xfId="0" applyNumberFormat="1" applyFont="1" applyFill="1" applyBorder="1" applyAlignment="1">
      <alignment horizontal="right"/>
    </xf>
    <xf numFmtId="2" fontId="14" fillId="6" borderId="0" xfId="0" applyNumberFormat="1" applyFont="1" applyFill="1" applyBorder="1" applyAlignment="1">
      <alignment horizontal="right"/>
    </xf>
    <xf numFmtId="165" fontId="14" fillId="6" borderId="0" xfId="0" applyNumberFormat="1" applyFont="1" applyFill="1"/>
    <xf numFmtId="165" fontId="64" fillId="6" borderId="0" xfId="0" applyNumberFormat="1" applyFont="1" applyFill="1" applyAlignment="1">
      <alignment horizontal="center"/>
    </xf>
    <xf numFmtId="2" fontId="14" fillId="6" borderId="0" xfId="0" applyNumberFormat="1" applyFont="1" applyFill="1" applyBorder="1"/>
    <xf numFmtId="0" fontId="14" fillId="6" borderId="0" xfId="0" applyFont="1" applyFill="1" applyBorder="1" applyProtection="1"/>
    <xf numFmtId="166" fontId="14" fillId="6" borderId="0" xfId="0" applyNumberFormat="1" applyFont="1" applyFill="1"/>
    <xf numFmtId="0" fontId="14" fillId="6" borderId="0" xfId="0" applyFont="1" applyFill="1" applyAlignment="1">
      <alignment horizontal="center"/>
    </xf>
    <xf numFmtId="166" fontId="14" fillId="6" borderId="0" xfId="0" applyNumberFormat="1" applyFont="1" applyFill="1" applyAlignment="1">
      <alignment horizontal="center"/>
    </xf>
    <xf numFmtId="166" fontId="14" fillId="6" borderId="0" xfId="0" applyNumberFormat="1" applyFont="1" applyFill="1" applyBorder="1" applyAlignment="1">
      <alignment horizontal="right"/>
    </xf>
    <xf numFmtId="166" fontId="14" fillId="6" borderId="0" xfId="0" applyNumberFormat="1" applyFont="1" applyFill="1" applyBorder="1" applyAlignment="1">
      <alignment horizontal="center"/>
    </xf>
    <xf numFmtId="166" fontId="14" fillId="6" borderId="0" xfId="0" applyNumberFormat="1" applyFont="1" applyFill="1" applyBorder="1"/>
    <xf numFmtId="0" fontId="14" fillId="6" borderId="0" xfId="0" applyNumberFormat="1" applyFont="1" applyFill="1" applyBorder="1" applyProtection="1"/>
    <xf numFmtId="0" fontId="19" fillId="4" borderId="10" xfId="0" applyNumberFormat="1" applyFont="1" applyFill="1" applyBorder="1" applyAlignment="1" applyProtection="1">
      <alignment horizontal="center"/>
      <protection locked="0"/>
    </xf>
    <xf numFmtId="0" fontId="26" fillId="6" borderId="0" xfId="0" applyFont="1" applyFill="1" applyBorder="1" applyAlignment="1">
      <alignment horizontal="left"/>
    </xf>
    <xf numFmtId="2" fontId="26" fillId="6" borderId="0" xfId="0" applyNumberFormat="1" applyFont="1" applyFill="1" applyBorder="1" applyAlignment="1">
      <alignment horizontal="left"/>
    </xf>
    <xf numFmtId="2" fontId="29" fillId="6" borderId="0" xfId="0" applyNumberFormat="1" applyFont="1" applyFill="1" applyBorder="1"/>
    <xf numFmtId="0" fontId="12" fillId="8" borderId="0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right" vertical="center"/>
    </xf>
    <xf numFmtId="0" fontId="34" fillId="6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6" borderId="14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right"/>
    </xf>
    <xf numFmtId="0" fontId="26" fillId="6" borderId="15" xfId="0" applyFont="1" applyFill="1" applyBorder="1"/>
    <xf numFmtId="2" fontId="1" fillId="6" borderId="15" xfId="0" applyNumberFormat="1" applyFont="1" applyFill="1" applyBorder="1"/>
    <xf numFmtId="0" fontId="1" fillId="6" borderId="15" xfId="0" applyFont="1" applyFill="1" applyBorder="1" applyAlignment="1">
      <alignment horizontal="left"/>
    </xf>
    <xf numFmtId="0" fontId="1" fillId="6" borderId="15" xfId="0" applyFont="1" applyFill="1" applyBorder="1"/>
    <xf numFmtId="0" fontId="26" fillId="6" borderId="27" xfId="0" applyFont="1" applyFill="1" applyBorder="1" applyAlignment="1">
      <alignment horizontal="right"/>
    </xf>
    <xf numFmtId="0" fontId="1" fillId="6" borderId="16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right"/>
    </xf>
    <xf numFmtId="0" fontId="26" fillId="6" borderId="17" xfId="0" applyFont="1" applyFill="1" applyBorder="1"/>
    <xf numFmtId="2" fontId="1" fillId="6" borderId="17" xfId="0" applyNumberFormat="1" applyFont="1" applyFill="1" applyBorder="1"/>
    <xf numFmtId="0" fontId="1" fillId="6" borderId="17" xfId="0" applyFont="1" applyFill="1" applyBorder="1" applyAlignment="1">
      <alignment horizontal="left"/>
    </xf>
    <xf numFmtId="2" fontId="16" fillId="6" borderId="17" xfId="0" applyNumberFormat="1" applyFont="1" applyFill="1" applyBorder="1"/>
    <xf numFmtId="0" fontId="16" fillId="6" borderId="18" xfId="0" applyFont="1" applyFill="1" applyBorder="1" applyAlignment="1">
      <alignment horizontal="right"/>
    </xf>
    <xf numFmtId="0" fontId="26" fillId="6" borderId="15" xfId="0" applyFont="1" applyFill="1" applyBorder="1" applyAlignment="1">
      <alignment horizontal="left"/>
    </xf>
    <xf numFmtId="0" fontId="26" fillId="6" borderId="17" xfId="0" applyFont="1" applyFill="1" applyBorder="1" applyAlignment="1">
      <alignment horizontal="left"/>
    </xf>
    <xf numFmtId="0" fontId="0" fillId="3" borderId="0" xfId="0" applyFill="1" applyProtection="1"/>
    <xf numFmtId="0" fontId="12" fillId="3" borderId="0" xfId="0" applyFont="1" applyFill="1" applyProtection="1"/>
    <xf numFmtId="0" fontId="0" fillId="3" borderId="0" xfId="0" applyFill="1" applyProtection="1">
      <protection hidden="1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 vertical="center"/>
    </xf>
    <xf numFmtId="0" fontId="16" fillId="6" borderId="0" xfId="0" applyFont="1" applyFill="1" applyBorder="1" applyAlignment="1">
      <alignment horizontal="left"/>
    </xf>
    <xf numFmtId="2" fontId="16" fillId="6" borderId="0" xfId="0" applyNumberFormat="1" applyFont="1" applyFill="1"/>
    <xf numFmtId="0" fontId="66" fillId="6" borderId="0" xfId="0" applyFont="1" applyFill="1" applyProtection="1">
      <protection hidden="1"/>
    </xf>
    <xf numFmtId="0" fontId="67" fillId="6" borderId="0" xfId="0" applyFont="1" applyFill="1" applyAlignment="1" applyProtection="1">
      <alignment horizontal="right" vertical="center"/>
      <protection hidden="1"/>
    </xf>
    <xf numFmtId="2" fontId="67" fillId="6" borderId="0" xfId="0" applyNumberFormat="1" applyFont="1" applyFill="1" applyAlignment="1" applyProtection="1">
      <alignment vertical="center"/>
      <protection hidden="1"/>
    </xf>
    <xf numFmtId="1" fontId="67" fillId="6" borderId="0" xfId="0" applyNumberFormat="1" applyFont="1" applyFill="1" applyAlignment="1" applyProtection="1">
      <alignment vertical="center"/>
      <protection hidden="1"/>
    </xf>
    <xf numFmtId="0" fontId="67" fillId="6" borderId="0" xfId="0" applyFont="1" applyFill="1" applyAlignment="1" applyProtection="1">
      <alignment vertical="center"/>
      <protection hidden="1"/>
    </xf>
    <xf numFmtId="0" fontId="0" fillId="6" borderId="0" xfId="0" applyFill="1" applyAlignment="1" applyProtection="1">
      <alignment vertical="center"/>
    </xf>
    <xf numFmtId="1" fontId="67" fillId="6" borderId="0" xfId="0" applyNumberFormat="1" applyFont="1" applyFill="1" applyAlignment="1" applyProtection="1">
      <alignment vertical="center"/>
    </xf>
    <xf numFmtId="0" fontId="67" fillId="6" borderId="0" xfId="0" applyFont="1" applyFill="1" applyAlignment="1" applyProtection="1">
      <alignment vertical="center"/>
    </xf>
    <xf numFmtId="2" fontId="67" fillId="6" borderId="0" xfId="0" applyNumberFormat="1" applyFont="1" applyFill="1" applyAlignment="1" applyProtection="1">
      <alignment vertical="center"/>
    </xf>
    <xf numFmtId="0" fontId="68" fillId="6" borderId="0" xfId="0" applyFont="1" applyFill="1" applyAlignment="1" applyProtection="1">
      <alignment horizontal="right"/>
    </xf>
    <xf numFmtId="2" fontId="0" fillId="6" borderId="0" xfId="0" applyNumberFormat="1" applyFill="1" applyProtection="1">
      <protection hidden="1"/>
    </xf>
    <xf numFmtId="0" fontId="69" fillId="6" borderId="0" xfId="0" applyFont="1" applyFill="1" applyAlignment="1" applyProtection="1">
      <alignment horizontal="right" vertical="center"/>
      <protection hidden="1"/>
    </xf>
    <xf numFmtId="2" fontId="69" fillId="6" borderId="0" xfId="0" applyNumberFormat="1" applyFont="1" applyFill="1" applyAlignment="1" applyProtection="1">
      <alignment vertical="center"/>
      <protection hidden="1"/>
    </xf>
    <xf numFmtId="1" fontId="69" fillId="6" borderId="0" xfId="0" applyNumberFormat="1" applyFont="1" applyFill="1" applyAlignment="1" applyProtection="1">
      <alignment vertical="center"/>
      <protection hidden="1"/>
    </xf>
    <xf numFmtId="2" fontId="69" fillId="6" borderId="0" xfId="0" applyNumberFormat="1" applyFont="1" applyFill="1" applyProtection="1">
      <protection hidden="1"/>
    </xf>
    <xf numFmtId="0" fontId="69" fillId="6" borderId="0" xfId="0" applyFont="1" applyFill="1" applyProtection="1">
      <protection hidden="1"/>
    </xf>
    <xf numFmtId="166" fontId="19" fillId="11" borderId="25" xfId="0" applyNumberFormat="1" applyFont="1" applyFill="1" applyBorder="1"/>
    <xf numFmtId="166" fontId="19" fillId="11" borderId="24" xfId="0" applyNumberFormat="1" applyFont="1" applyFill="1" applyBorder="1" applyAlignment="1">
      <alignment horizontal="center"/>
    </xf>
    <xf numFmtId="2" fontId="19" fillId="11" borderId="24" xfId="0" applyNumberFormat="1" applyFont="1" applyFill="1" applyBorder="1" applyAlignment="1">
      <alignment horizontal="left"/>
    </xf>
    <xf numFmtId="0" fontId="19" fillId="11" borderId="23" xfId="0" applyFont="1" applyFill="1" applyBorder="1" applyAlignment="1"/>
    <xf numFmtId="0" fontId="29" fillId="9" borderId="24" xfId="0" applyFont="1" applyFill="1" applyBorder="1" applyAlignment="1">
      <alignment horizontal="center"/>
    </xf>
    <xf numFmtId="2" fontId="29" fillId="9" borderId="24" xfId="2" applyNumberFormat="1" applyFont="1" applyFill="1" applyBorder="1" applyAlignment="1">
      <alignment horizontal="center"/>
    </xf>
    <xf numFmtId="0" fontId="29" fillId="9" borderId="24" xfId="0" applyFont="1" applyFill="1" applyBorder="1" applyAlignment="1">
      <alignment horizontal="left"/>
    </xf>
    <xf numFmtId="166" fontId="29" fillId="3" borderId="15" xfId="0" applyNumberFormat="1" applyFont="1" applyFill="1" applyBorder="1" applyAlignment="1">
      <alignment horizontal="center" vertical="center"/>
    </xf>
    <xf numFmtId="166" fontId="29" fillId="3" borderId="17" xfId="0" applyNumberFormat="1" applyFont="1" applyFill="1" applyBorder="1" applyAlignment="1">
      <alignment horizontal="center" vertical="center"/>
    </xf>
  </cellXfs>
  <cellStyles count="4">
    <cellStyle name="Euro" xfId="1" xr:uid="{00000000-0005-0000-0000-000000000000}"/>
    <cellStyle name="Komma" xfId="2" builtinId="3"/>
    <cellStyle name="Link" xfId="3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30956</xdr:colOff>
      <xdr:row>24</xdr:row>
      <xdr:rowOff>126207</xdr:rowOff>
    </xdr:from>
    <xdr:ext cx="3049296" cy="250453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51B9712-B93D-4040-8C1F-8986DC2C54BF}"/>
            </a:ext>
          </a:extLst>
        </xdr:cNvPr>
        <xdr:cNvSpPr txBox="1"/>
      </xdr:nvSpPr>
      <xdr:spPr>
        <a:xfrm>
          <a:off x="6226969" y="4583907"/>
          <a:ext cx="3049296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de-DE" sz="1600">
              <a:solidFill>
                <a:schemeClr val="bg1">
                  <a:lumMod val="50000"/>
                </a:schemeClr>
              </a:solidFill>
            </a:rPr>
            <a:t>r</a:t>
          </a:r>
          <a:r>
            <a:rPr lang="de-DE" sz="1200">
              <a:solidFill>
                <a:schemeClr val="bg1">
                  <a:lumMod val="50000"/>
                </a:schemeClr>
              </a:solidFill>
            </a:rPr>
            <a:t>o=</a:t>
          </a:r>
          <a:r>
            <a:rPr lang="de-DE" sz="1600">
              <a:solidFill>
                <a:schemeClr val="bg1">
                  <a:lumMod val="50000"/>
                </a:schemeClr>
              </a:solidFill>
            </a:rPr>
            <a:t>r</a:t>
          </a:r>
          <a:r>
            <a:rPr lang="de-DE" sz="1100">
              <a:solidFill>
                <a:schemeClr val="bg1">
                  <a:lumMod val="50000"/>
                </a:schemeClr>
              </a:solidFill>
            </a:rPr>
            <a:t>c(flach)-(</a:t>
          </a:r>
          <a:r>
            <a:rPr lang="el-GR" sz="1600">
              <a:solidFill>
                <a:schemeClr val="bg1">
                  <a:lumMod val="50000"/>
                </a:schemeClr>
              </a:solidFill>
            </a:rPr>
            <a:t>ε</a:t>
          </a:r>
          <a:r>
            <a:rPr lang="de-DE" sz="1100">
              <a:solidFill>
                <a:schemeClr val="bg1">
                  <a:lumMod val="50000"/>
                </a:schemeClr>
              </a:solidFill>
            </a:rPr>
            <a:t>KL-</a:t>
          </a:r>
          <a:r>
            <a:rPr lang="el-GR" sz="1600">
              <a:solidFill>
                <a:schemeClr val="bg1">
                  <a:lumMod val="50000"/>
                </a:schemeClr>
              </a:solidFill>
            </a:rPr>
            <a:t>ε</a:t>
          </a:r>
          <a:r>
            <a:rPr lang="de-DE" sz="1100">
              <a:solidFill>
                <a:schemeClr val="bg1">
                  <a:lumMod val="50000"/>
                </a:schemeClr>
              </a:solidFill>
            </a:rPr>
            <a:t>(HH)flach)*</a:t>
          </a:r>
          <a:r>
            <a:rPr lang="de-DE" sz="1200">
              <a:solidFill>
                <a:schemeClr val="bg1">
                  <a:lumMod val="50000"/>
                </a:schemeClr>
              </a:solidFill>
            </a:rPr>
            <a:t>0,7</a:t>
          </a:r>
          <a:r>
            <a:rPr lang="de-DE" sz="1100">
              <a:solidFill>
                <a:schemeClr val="bg1">
                  <a:lumMod val="50000"/>
                </a:schemeClr>
              </a:solidFill>
            </a:rPr>
            <a:t> +/- Modifikation  </a:t>
          </a:r>
        </a:p>
      </xdr:txBody>
    </xdr:sp>
    <xdr:clientData/>
  </xdr:oneCellAnchor>
  <xdr:oneCellAnchor>
    <xdr:from>
      <xdr:col>12</xdr:col>
      <xdr:colOff>38099</xdr:colOff>
      <xdr:row>23</xdr:row>
      <xdr:rowOff>123825</xdr:rowOff>
    </xdr:from>
    <xdr:ext cx="2878096" cy="250453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710546E-E20A-4116-B40B-59CBDB635C9D}"/>
            </a:ext>
          </a:extLst>
        </xdr:cNvPr>
        <xdr:cNvSpPr txBox="1"/>
      </xdr:nvSpPr>
      <xdr:spPr>
        <a:xfrm>
          <a:off x="6234112" y="4391025"/>
          <a:ext cx="2878096" cy="250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l-GR" sz="1600">
              <a:solidFill>
                <a:schemeClr val="bg1">
                  <a:lumMod val="50000"/>
                </a:schemeClr>
              </a:solidFill>
            </a:rPr>
            <a:t>ε</a:t>
          </a:r>
          <a:r>
            <a:rPr lang="de-DE" sz="1100">
              <a:solidFill>
                <a:schemeClr val="bg1">
                  <a:lumMod val="50000"/>
                </a:schemeClr>
              </a:solidFill>
            </a:rPr>
            <a:t>KL≥-</a:t>
          </a:r>
          <a:r>
            <a:rPr lang="el-GR" sz="1600">
              <a:solidFill>
                <a:schemeClr val="bg1">
                  <a:lumMod val="50000"/>
                </a:schemeClr>
              </a:solidFill>
            </a:rPr>
            <a:t>ε</a:t>
          </a:r>
          <a:r>
            <a:rPr lang="de-DE" sz="1100">
              <a:solidFill>
                <a:schemeClr val="bg1">
                  <a:lumMod val="50000"/>
                </a:schemeClr>
              </a:solidFill>
            </a:rPr>
            <a:t>(HH)gesamt      (nächste flachere 0,1 Stufe)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151086</xdr:rowOff>
    </xdr:from>
    <xdr:to>
      <xdr:col>3</xdr:col>
      <xdr:colOff>6569</xdr:colOff>
      <xdr:row>10</xdr:row>
      <xdr:rowOff>6569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400707" y="729155"/>
          <a:ext cx="6569" cy="1057604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19707</xdr:colOff>
      <xdr:row>10</xdr:row>
      <xdr:rowOff>0</xdr:rowOff>
    </xdr:from>
    <xdr:to>
      <xdr:col>4</xdr:col>
      <xdr:colOff>236483</xdr:colOff>
      <xdr:row>10</xdr:row>
      <xdr:rowOff>0</xdr:rowOff>
    </xdr:to>
    <xdr:cxnSp macro="">
      <xdr:nvCxnSpPr>
        <xdr:cNvPr id="5" name="Gerade Verbindu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>
          <a:off x="420414" y="1780190"/>
          <a:ext cx="1129862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22027</xdr:colOff>
      <xdr:row>11</xdr:row>
      <xdr:rowOff>69651</xdr:rowOff>
    </xdr:from>
    <xdr:ext cx="1332160" cy="3309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54130DD6-1365-4288-A270-71AFB9D6FBCA}"/>
                </a:ext>
              </a:extLst>
            </xdr:cNvPr>
            <xdr:cNvSpPr txBox="1"/>
          </xdr:nvSpPr>
          <xdr:spPr>
            <a:xfrm>
              <a:off x="135136" y="2087760"/>
              <a:ext cx="1332160" cy="330988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p>
                    </m:sSup>
                    <m:r>
                      <a:rPr lang="de-DE" sz="1100" b="0" i="1">
                        <a:latin typeface="Cambria Math" panose="02040503050406030204" pitchFamily="18" charset="0"/>
                      </a:rPr>
                      <m:t>𝑛𝑒𝑢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′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𝑎𝑙𝑡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sSup>
                          <m:sSup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p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𝑎𝑙𝑡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54130DD6-1365-4288-A270-71AFB9D6FBCA}"/>
                </a:ext>
              </a:extLst>
            </xdr:cNvPr>
            <xdr:cNvSpPr txBox="1"/>
          </xdr:nvSpPr>
          <xdr:spPr>
            <a:xfrm>
              <a:off x="135136" y="2087760"/>
              <a:ext cx="1332160" cy="330988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𝑆^′ 𝑛𝑒𝑢=𝑆′𝑎𝑙𝑡/(1−𝑒∗𝑆^′ 𝑎𝑙𝑡)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22027</xdr:colOff>
      <xdr:row>13</xdr:row>
      <xdr:rowOff>87510</xdr:rowOff>
    </xdr:from>
    <xdr:ext cx="134588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AF561B40-00C1-45B2-A5E2-944BED9CE095}"/>
                </a:ext>
              </a:extLst>
            </xdr:cNvPr>
            <xdr:cNvSpPr txBox="1"/>
          </xdr:nvSpPr>
          <xdr:spPr>
            <a:xfrm>
              <a:off x="135136" y="2474713"/>
              <a:ext cx="134588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𝑒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𝐻𝑆𝐴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𝑎𝑙𝑡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𝑖𝑛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𝑀𝑒𝑡𝑒𝑟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AF561B40-00C1-45B2-A5E2-944BED9CE095}"/>
                </a:ext>
              </a:extLst>
            </xdr:cNvPr>
            <xdr:cNvSpPr txBox="1"/>
          </xdr:nvSpPr>
          <xdr:spPr>
            <a:xfrm>
              <a:off x="135136" y="2474713"/>
              <a:ext cx="134588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𝑒=𝐻𝑆𝐴 𝑎𝑙𝑡 𝑖𝑛 𝑀𝑒𝑡𝑒𝑟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259291</xdr:colOff>
      <xdr:row>2</xdr:row>
      <xdr:rowOff>5291</xdr:rowOff>
    </xdr:from>
    <xdr:ext cx="1277721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D3B0317D-A98F-49BA-9039-44D5B1472039}"/>
                </a:ext>
              </a:extLst>
            </xdr:cNvPr>
            <xdr:cNvSpPr txBox="1"/>
          </xdr:nvSpPr>
          <xdr:spPr>
            <a:xfrm>
              <a:off x="4000499" y="349249"/>
              <a:ext cx="1277721" cy="344453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</m:t>
                        </m:r>
                      </m:e>
                      <m:sup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′</m:t>
                        </m:r>
                      </m:sup>
                    </m:sSup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𝑇𝐿</m:t>
                    </m:r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𝑟𝑐</m:t>
                        </m:r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𝑟𝑜</m:t>
                        </m:r>
                      </m:e>
                    </m:d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∗5</m:t>
                    </m:r>
                  </m:oMath>
                  <m:oMath xmlns:m="http://schemas.openxmlformats.org/officeDocument/2006/math"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h𝑎𝑢𝑝𝑠𝑐h𝑛𝑖𝑡𝑡𝑠𝑤𝑒𝑖𝑠𝑒</m:t>
                    </m:r>
                  </m:oMath>
                </m:oMathPara>
              </a14:m>
              <a:endParaRPr kumimoji="0" lang="de-DE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D3B0317D-A98F-49BA-9039-44D5B1472039}"/>
                </a:ext>
              </a:extLst>
            </xdr:cNvPr>
            <xdr:cNvSpPr txBox="1"/>
          </xdr:nvSpPr>
          <xdr:spPr>
            <a:xfrm>
              <a:off x="4000499" y="349249"/>
              <a:ext cx="1277721" cy="344453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de-DE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𝑆^′ 𝑇𝐿=(𝑟𝑐−𝑟𝑜)∗5</a:t>
              </a:r>
              <a:br>
                <a:rPr kumimoji="0" lang="de-DE" sz="1100" b="0" i="1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0" lang="de-DE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ℎ𝑎𝑢𝑝𝑠𝑐ℎ𝑛𝑖𝑡𝑡𝑠𝑤𝑒𝑖𝑠𝑒</a:t>
              </a:r>
              <a:endParaRPr kumimoji="0" lang="de-DE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12</xdr:col>
      <xdr:colOff>5292</xdr:colOff>
      <xdr:row>7</xdr:row>
      <xdr:rowOff>26458</xdr:rowOff>
    </xdr:from>
    <xdr:ext cx="1518708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817A72F-F209-4642-A32D-29D72558E1E8}"/>
                </a:ext>
              </a:extLst>
            </xdr:cNvPr>
            <xdr:cNvSpPr txBox="1"/>
          </xdr:nvSpPr>
          <xdr:spPr>
            <a:xfrm>
              <a:off x="4783667" y="1460500"/>
              <a:ext cx="1518708" cy="38100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</m:t>
                        </m:r>
                      </m:e>
                      <m:sup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′</m:t>
                        </m:r>
                      </m:sup>
                    </m:sSup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𝑇𝐿</m:t>
                    </m:r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=336∗</m:t>
                    </m:r>
                    <m:d>
                      <m:dPr>
                        <m:ctrlP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𝑟𝑜</m:t>
                            </m:r>
                          </m:den>
                        </m:f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f>
                          <m:fPr>
                            <m:ctrlP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𝑟𝑐</m:t>
                            </m:r>
                          </m:den>
                        </m:f>
                      </m:e>
                    </m:d>
                  </m:oMath>
                </m:oMathPara>
              </a14:m>
              <a:br>
                <a:rPr kumimoji="0" lang="de-DE" sz="1100" b="0" i="1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</a:br>
              <a:endParaRPr kumimoji="0" lang="de-DE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817A72F-F209-4642-A32D-29D72558E1E8}"/>
                </a:ext>
              </a:extLst>
            </xdr:cNvPr>
            <xdr:cNvSpPr txBox="1"/>
          </xdr:nvSpPr>
          <xdr:spPr>
            <a:xfrm>
              <a:off x="4783667" y="1460500"/>
              <a:ext cx="1518708" cy="38100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de-DE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𝑆^′ 𝑇𝐿=336∗(1/𝑟𝑜−1/𝑟𝑐)</a:t>
              </a:r>
              <a:br>
                <a:rPr kumimoji="0" lang="de-DE" sz="1100" b="0" i="1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</a:br>
              <a:endParaRPr kumimoji="0" lang="de-DE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48985</xdr:colOff>
      <xdr:row>2</xdr:row>
      <xdr:rowOff>5443</xdr:rowOff>
    </xdr:from>
    <xdr:ext cx="1277721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DE5BD4BC-C025-4BC7-AB38-32000C3FE5FB}"/>
                </a:ext>
              </a:extLst>
            </xdr:cNvPr>
            <xdr:cNvSpPr txBox="1"/>
          </xdr:nvSpPr>
          <xdr:spPr>
            <a:xfrm>
              <a:off x="3793671" y="348343"/>
              <a:ext cx="1277721" cy="344453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</m:t>
                        </m:r>
                      </m:e>
                      <m:sup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′</m:t>
                        </m:r>
                      </m:sup>
                    </m:sSup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𝑇𝐿</m:t>
                    </m:r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≈</m:t>
                    </m:r>
                    <m:d>
                      <m:dPr>
                        <m:ctrlP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𝑟𝑐</m:t>
                        </m:r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𝑟𝑜</m:t>
                        </m:r>
                      </m:e>
                    </m:d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∗5</m:t>
                    </m:r>
                  </m:oMath>
                  <m:oMath xmlns:m="http://schemas.openxmlformats.org/officeDocument/2006/math"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h𝑎𝑢𝑝𝑠𝑐h𝑛𝑖𝑡𝑡𝑠𝑤𝑒𝑖𝑠𝑒</m:t>
                    </m:r>
                  </m:oMath>
                </m:oMathPara>
              </a14:m>
              <a:endParaRPr kumimoji="0" lang="de-DE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DE5BD4BC-C025-4BC7-AB38-32000C3FE5FB}"/>
                </a:ext>
              </a:extLst>
            </xdr:cNvPr>
            <xdr:cNvSpPr txBox="1"/>
          </xdr:nvSpPr>
          <xdr:spPr>
            <a:xfrm>
              <a:off x="3793671" y="348343"/>
              <a:ext cx="1277721" cy="344453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de-DE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𝑆^′ 𝑇𝐿≈(𝑟𝑐−𝑟𝑜)∗5</a:t>
              </a:r>
              <a:br>
                <a:rPr kumimoji="0" lang="de-DE" sz="1100" b="0" i="1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kumimoji="0" lang="de-DE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ℎ𝑎𝑢𝑝𝑠𝑐ℎ𝑛𝑖𝑡𝑡𝑠𝑤𝑒𝑖𝑠𝑒</a:t>
              </a:r>
              <a:endParaRPr kumimoji="0" lang="de-DE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13</xdr:col>
      <xdr:colOff>10584</xdr:colOff>
      <xdr:row>9</xdr:row>
      <xdr:rowOff>79375</xdr:rowOff>
    </xdr:from>
    <xdr:ext cx="1518708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BCC41965-927C-441E-AA79-C3A4B04D58FB}"/>
                </a:ext>
              </a:extLst>
            </xdr:cNvPr>
            <xdr:cNvSpPr txBox="1"/>
          </xdr:nvSpPr>
          <xdr:spPr>
            <a:xfrm>
              <a:off x="4773084" y="1841500"/>
              <a:ext cx="1518708" cy="38100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</m:t>
                        </m:r>
                      </m:e>
                      <m:sup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′</m:t>
                        </m:r>
                      </m:sup>
                    </m:sSup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𝑇𝐿</m:t>
                    </m:r>
                    <m:r>
                      <a:rPr kumimoji="0" lang="de-DE" sz="11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=336∗</m:t>
                    </m:r>
                    <m:d>
                      <m:dPr>
                        <m:ctrlP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𝑟𝑜</m:t>
                            </m:r>
                          </m:den>
                        </m:f>
                        <m:r>
                          <a:rPr kumimoji="0" lang="de-DE" sz="11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f>
                          <m:fPr>
                            <m:ctrlP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a:rPr kumimoji="0" lang="de-DE" sz="11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sysClr val="windowText" lastClr="000000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𝑟𝑐</m:t>
                            </m:r>
                          </m:den>
                        </m:f>
                      </m:e>
                    </m:d>
                  </m:oMath>
                </m:oMathPara>
              </a14:m>
              <a:br>
                <a:rPr kumimoji="0" lang="de-DE" sz="1100" b="0" i="1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</a:br>
              <a:endParaRPr kumimoji="0" lang="de-DE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BCC41965-927C-441E-AA79-C3A4B04D58FB}"/>
                </a:ext>
              </a:extLst>
            </xdr:cNvPr>
            <xdr:cNvSpPr txBox="1"/>
          </xdr:nvSpPr>
          <xdr:spPr>
            <a:xfrm>
              <a:off x="4773084" y="1841500"/>
              <a:ext cx="1518708" cy="38100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de-DE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𝑆^′ 𝑇𝐿=336∗(1/𝑟𝑜−1/𝑟𝑐)</a:t>
              </a:r>
              <a:br>
                <a:rPr kumimoji="0" lang="de-DE" sz="1100" b="0" i="1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</a:br>
              <a:endParaRPr kumimoji="0" lang="de-DE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ptonia.de/service/download/fach-downloads/" TargetMode="External"/><Relationship Id="rId2" Type="http://schemas.openxmlformats.org/officeDocument/2006/relationships/hyperlink" Target="http://www.optonia.de/service/download/fach-downloads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optonia.de/service/download/fach-downloads/" TargetMode="External"/><Relationship Id="rId1" Type="http://schemas.openxmlformats.org/officeDocument/2006/relationships/hyperlink" Target="http://www.optonia.de/service/download/fach-download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ptonia.de/service/download/fach-downloads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optonia.de/wp-content/uploads/pdf/Sagittalradienauswertung-Messlinsenberechnung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ptonia.de/service/download/fach-downloads/" TargetMode="External"/><Relationship Id="rId1" Type="http://schemas.openxmlformats.org/officeDocument/2006/relationships/hyperlink" Target="http://www.optonia.de/service/download/fach-download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ptonia.de/service/download/fach-downloads/" TargetMode="External"/><Relationship Id="rId1" Type="http://schemas.openxmlformats.org/officeDocument/2006/relationships/hyperlink" Target="http://www.optonia.de/service/download/fach-downloads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Q110"/>
  <sheetViews>
    <sheetView showGridLines="0" showRowColHeaders="0" tabSelected="1" zoomScale="106" zoomScaleNormal="106" workbookViewId="0">
      <selection activeCell="C4" sqref="C4"/>
    </sheetView>
  </sheetViews>
  <sheetFormatPr baseColWidth="10" defaultColWidth="11.42578125" defaultRowHeight="12.75" x14ac:dyDescent="0.2"/>
  <cols>
    <col min="1" max="1" width="1.7109375" style="60" customWidth="1"/>
    <col min="2" max="2" width="12.85546875" style="59" customWidth="1"/>
    <col min="3" max="3" width="6.85546875" style="60" customWidth="1"/>
    <col min="4" max="4" width="4.42578125" style="60" customWidth="1"/>
    <col min="5" max="5" width="17.7109375" style="60" customWidth="1"/>
    <col min="6" max="6" width="8.7109375" style="60" customWidth="1"/>
    <col min="7" max="7" width="4.28515625" style="60" customWidth="1"/>
    <col min="8" max="8" width="4.85546875" style="60" customWidth="1"/>
    <col min="9" max="9" width="4.140625" style="60" customWidth="1"/>
    <col min="10" max="10" width="10.42578125" style="60" customWidth="1"/>
    <col min="11" max="11" width="7" style="60" customWidth="1"/>
    <col min="12" max="12" width="3" style="60" customWidth="1"/>
    <col min="13" max="13" width="1.42578125" style="60" customWidth="1"/>
    <col min="14" max="14" width="7.42578125" style="60" customWidth="1"/>
    <col min="15" max="15" width="3.85546875" style="60" customWidth="1"/>
    <col min="16" max="16" width="5.42578125" style="60" customWidth="1"/>
    <col min="17" max="17" width="5.140625" style="60" customWidth="1"/>
    <col min="18" max="18" width="3.85546875" style="60" customWidth="1"/>
    <col min="19" max="19" width="7.42578125" style="60" customWidth="1"/>
    <col min="20" max="20" width="3.5703125" style="60" customWidth="1"/>
    <col min="21" max="21" width="6.7109375" style="60" customWidth="1"/>
    <col min="22" max="22" width="3.5703125" style="60" customWidth="1"/>
    <col min="23" max="23" width="5.7109375" style="60" customWidth="1"/>
    <col min="24" max="24" width="1.85546875" style="60" customWidth="1"/>
    <col min="25" max="25" width="1.5703125" style="60" customWidth="1"/>
    <col min="26" max="26" width="8.140625" style="60" customWidth="1"/>
    <col min="27" max="27" width="6.42578125" style="60" customWidth="1"/>
    <col min="28" max="28" width="7.28515625" style="60" customWidth="1"/>
    <col min="29" max="29" width="3.5703125" style="60" customWidth="1"/>
    <col min="30" max="30" width="2.5703125" style="60" customWidth="1"/>
    <col min="31" max="31" width="5.7109375" style="60" customWidth="1"/>
    <col min="32" max="32" width="53.28515625" style="60" customWidth="1"/>
    <col min="33" max="33" width="3.7109375" style="60" customWidth="1"/>
    <col min="34" max="34" width="14.28515625" style="60" customWidth="1"/>
    <col min="35" max="35" width="7.5703125" style="60" customWidth="1"/>
    <col min="36" max="36" width="8.85546875" style="60" customWidth="1"/>
    <col min="37" max="37" width="8.140625" style="60" customWidth="1"/>
    <col min="38" max="38" width="10.28515625" style="60" customWidth="1"/>
    <col min="39" max="39" width="6.140625" style="60" customWidth="1"/>
    <col min="40" max="40" width="7.5703125" style="60" customWidth="1"/>
    <col min="41" max="41" width="9.85546875" style="60" customWidth="1"/>
    <col min="42" max="42" width="9.42578125" style="60" customWidth="1"/>
    <col min="43" max="43" width="4.5703125" style="60" customWidth="1"/>
    <col min="44" max="44" width="1.7109375" style="60" customWidth="1"/>
    <col min="45" max="45" width="9.5703125" style="59" customWidth="1"/>
    <col min="46" max="46" width="11.42578125" style="60"/>
    <col min="47" max="47" width="3.7109375" style="60" customWidth="1"/>
    <col min="48" max="48" width="12.28515625" style="60" customWidth="1"/>
    <col min="49" max="49" width="11.42578125" style="60"/>
    <col min="50" max="50" width="13.140625" style="60" bestFit="1" customWidth="1"/>
    <col min="51" max="16384" width="11.42578125" style="60"/>
  </cols>
  <sheetData>
    <row r="1" spans="1:69" ht="21" customHeight="1" x14ac:dyDescent="0.2">
      <c r="A1" s="191"/>
      <c r="B1" s="61" t="s">
        <v>287</v>
      </c>
      <c r="C1" s="62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192"/>
      <c r="AE1" s="72"/>
      <c r="AF1" s="72"/>
      <c r="AG1" s="193"/>
      <c r="AH1" s="63" t="s">
        <v>46</v>
      </c>
      <c r="AI1" s="63"/>
      <c r="AJ1" s="63"/>
      <c r="AK1" s="63"/>
      <c r="AL1" s="63"/>
      <c r="AM1" s="63" t="s">
        <v>230</v>
      </c>
      <c r="AN1" s="63"/>
      <c r="AO1" s="63"/>
      <c r="AP1" s="201"/>
      <c r="AQ1" s="63"/>
      <c r="AR1" s="202"/>
      <c r="AS1" s="69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1"/>
    </row>
    <row r="2" spans="1:69" ht="14.25" customHeight="1" x14ac:dyDescent="0.2">
      <c r="A2" s="191"/>
      <c r="B2" s="64"/>
      <c r="C2" s="309"/>
      <c r="D2" s="309"/>
      <c r="E2" s="309"/>
      <c r="F2" s="309"/>
      <c r="G2" s="309"/>
      <c r="H2" s="65"/>
      <c r="I2" s="66"/>
      <c r="J2" s="66"/>
      <c r="K2" s="66"/>
      <c r="L2" s="66"/>
      <c r="M2" s="38"/>
      <c r="N2" s="65"/>
      <c r="O2" s="65"/>
      <c r="P2" s="65"/>
      <c r="Q2" s="65"/>
      <c r="R2" s="65"/>
      <c r="S2" s="65"/>
      <c r="T2" s="65"/>
      <c r="U2" s="72"/>
      <c r="V2" s="307"/>
      <c r="W2" s="65"/>
      <c r="X2" s="65"/>
      <c r="Y2" s="65"/>
      <c r="Z2" s="65"/>
      <c r="AA2" s="65"/>
      <c r="AB2" s="65"/>
      <c r="AC2" s="65"/>
      <c r="AD2" s="192"/>
      <c r="AE2" s="65"/>
      <c r="AF2" s="65"/>
      <c r="AG2" s="192"/>
      <c r="AH2" s="68" t="s">
        <v>102</v>
      </c>
      <c r="AI2" s="65"/>
      <c r="AJ2" s="65"/>
      <c r="AK2" s="69">
        <f>J4</f>
        <v>-5</v>
      </c>
      <c r="AL2" s="69">
        <f>J5</f>
        <v>3</v>
      </c>
      <c r="AM2" s="38">
        <f>J6</f>
        <v>90</v>
      </c>
      <c r="AN2" s="67" t="s">
        <v>4</v>
      </c>
      <c r="AO2" s="70" t="s">
        <v>161</v>
      </c>
      <c r="AP2" s="71"/>
      <c r="AQ2" s="65"/>
      <c r="AR2" s="193"/>
      <c r="AS2" s="69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1"/>
    </row>
    <row r="3" spans="1:69" ht="14.1" customHeight="1" x14ac:dyDescent="0.2">
      <c r="A3" s="191"/>
      <c r="B3" s="74" t="s">
        <v>70</v>
      </c>
      <c r="C3" s="75"/>
      <c r="D3" s="72"/>
      <c r="E3" s="74" t="s">
        <v>133</v>
      </c>
      <c r="F3" s="72"/>
      <c r="G3" s="72"/>
      <c r="H3" s="72"/>
      <c r="I3" s="76" t="s">
        <v>165</v>
      </c>
      <c r="J3" s="77"/>
      <c r="K3" s="77"/>
      <c r="L3" s="77"/>
      <c r="M3" s="38"/>
      <c r="N3" s="78" t="s">
        <v>168</v>
      </c>
      <c r="O3" s="38"/>
      <c r="P3" s="38"/>
      <c r="Q3" s="79"/>
      <c r="R3" s="38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193"/>
      <c r="AE3" s="72"/>
      <c r="AF3" s="72"/>
      <c r="AG3" s="193"/>
      <c r="AH3" s="38" t="s">
        <v>162</v>
      </c>
      <c r="AI3" s="38"/>
      <c r="AJ3" s="38"/>
      <c r="AK3" s="15" t="s">
        <v>26</v>
      </c>
      <c r="AL3" s="80" t="str">
        <f>IF(AND(C6&gt;=0,C6&lt;=45,C5&lt;0),"Rectus",IF(AND(C6&gt;=135,C6&lt;=180,C5&lt;0),"Rectus","Inversus"))</f>
        <v>Rectus</v>
      </c>
      <c r="AM3" s="81" t="s">
        <v>24</v>
      </c>
      <c r="AN3" s="80" t="str">
        <f>IF(AND(C10&gt;=0,C10&lt;=45,C9&gt;C11),"Rectus",IF(AND(C10&gt;=135,C10&lt;=180,C9&gt;C11),"Rectus","Inversus"))</f>
        <v>Rectus</v>
      </c>
      <c r="AO3" s="38"/>
      <c r="AP3" s="38"/>
      <c r="AQ3" s="38"/>
      <c r="AR3" s="191"/>
      <c r="AS3" s="69"/>
      <c r="AT3" s="38"/>
      <c r="AU3" s="82"/>
      <c r="AV3" s="82"/>
      <c r="AW3" s="82"/>
      <c r="AX3" s="38"/>
      <c r="AY3" s="38"/>
      <c r="AZ3" s="38"/>
      <c r="BA3" s="38"/>
      <c r="BB3" s="38"/>
      <c r="BC3" s="38"/>
      <c r="BD3" s="38"/>
      <c r="BE3" s="38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1"/>
    </row>
    <row r="4" spans="1:69" ht="14.1" customHeight="1" x14ac:dyDescent="0.2">
      <c r="A4" s="191"/>
      <c r="B4" s="83" t="s">
        <v>32</v>
      </c>
      <c r="C4" s="203">
        <v>-2</v>
      </c>
      <c r="D4" s="83" t="s">
        <v>37</v>
      </c>
      <c r="E4" s="84" t="s">
        <v>32</v>
      </c>
      <c r="F4" s="85">
        <f>C4/(1-C7/1000*C4)</f>
        <v>-2</v>
      </c>
      <c r="G4" s="86" t="s">
        <v>37</v>
      </c>
      <c r="H4" s="87"/>
      <c r="I4" s="87"/>
      <c r="J4" s="88">
        <f>F4+F5</f>
        <v>-5</v>
      </c>
      <c r="K4" s="88"/>
      <c r="L4" s="82"/>
      <c r="M4" s="38"/>
      <c r="N4" s="89" t="s">
        <v>146</v>
      </c>
      <c r="O4" s="67"/>
      <c r="P4" s="38"/>
      <c r="Q4" s="38"/>
      <c r="R4" s="90" t="str">
        <f>AO20</f>
        <v>asphärische Geometrie</v>
      </c>
      <c r="S4" s="38"/>
      <c r="T4" s="90"/>
      <c r="U4" s="90"/>
      <c r="V4" s="90"/>
      <c r="W4" s="91" t="str">
        <f>IF(ABS(C9-C11)&lt;0.45,"/ rotationssymmetrisch (RS)","/ rücktorisch (RT)")</f>
        <v>/ rücktorisch (RT)</v>
      </c>
      <c r="X4" s="91"/>
      <c r="Y4" s="91"/>
      <c r="Z4" s="91"/>
      <c r="AA4" s="90"/>
      <c r="AB4" s="82"/>
      <c r="AC4" s="82"/>
      <c r="AD4" s="194"/>
      <c r="AE4" s="82"/>
      <c r="AF4" s="82"/>
      <c r="AG4" s="194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191"/>
      <c r="AS4" s="69"/>
      <c r="AT4" s="38"/>
      <c r="AU4" s="82"/>
      <c r="AV4" s="82"/>
      <c r="AW4" s="67"/>
      <c r="AX4" s="82"/>
      <c r="AY4" s="38"/>
      <c r="AZ4" s="38"/>
      <c r="BA4" s="38"/>
      <c r="BB4" s="38"/>
      <c r="BC4" s="38"/>
      <c r="BD4" s="38"/>
      <c r="BE4" s="38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1"/>
    </row>
    <row r="5" spans="1:69" ht="14.1" customHeight="1" x14ac:dyDescent="0.2">
      <c r="A5" s="191"/>
      <c r="B5" s="83" t="s">
        <v>69</v>
      </c>
      <c r="C5" s="204">
        <v>-3</v>
      </c>
      <c r="D5" s="83" t="s">
        <v>37</v>
      </c>
      <c r="E5" s="84" t="s">
        <v>134</v>
      </c>
      <c r="F5" s="85">
        <f>(C4+C5)/(1-C7/1000*(C4+C5))-F4</f>
        <v>-3</v>
      </c>
      <c r="G5" s="86" t="s">
        <v>37</v>
      </c>
      <c r="H5" s="87"/>
      <c r="I5" s="87"/>
      <c r="J5" s="88">
        <f>F5*(-1)</f>
        <v>3</v>
      </c>
      <c r="K5" s="88"/>
      <c r="L5" s="67"/>
      <c r="M5" s="38"/>
      <c r="N5" s="89" t="s">
        <v>140</v>
      </c>
      <c r="O5" s="67"/>
      <c r="P5" s="38"/>
      <c r="Q5" s="38"/>
      <c r="R5" s="91" t="str">
        <f>F14</f>
        <v>BTC - bitorischkompensierte HL</v>
      </c>
      <c r="S5" s="90"/>
      <c r="T5" s="90"/>
      <c r="U5" s="90"/>
      <c r="V5" s="90"/>
      <c r="W5" s="90"/>
      <c r="X5" s="90"/>
      <c r="Y5" s="90"/>
      <c r="Z5" s="90"/>
      <c r="AA5" s="67"/>
      <c r="AB5" s="38"/>
      <c r="AC5" s="67"/>
      <c r="AD5" s="195"/>
      <c r="AE5" s="67"/>
      <c r="AF5" s="67"/>
      <c r="AG5" s="195"/>
      <c r="AH5" s="93" t="s">
        <v>19</v>
      </c>
      <c r="AI5" s="67"/>
      <c r="AJ5" s="94"/>
      <c r="AK5" s="95" t="s">
        <v>47</v>
      </c>
      <c r="AL5" s="73" t="str">
        <f>IF(AJ12&gt;8.2,"flache",IF(AJ12&lt;7.4,"steile","normale"))</f>
        <v>normale</v>
      </c>
      <c r="AM5" s="67"/>
      <c r="AN5" s="67" t="s">
        <v>0</v>
      </c>
      <c r="AO5" s="67"/>
      <c r="AP5" s="67" t="str">
        <f>IF(AJ12&lt;7,"Keratokonus ?","")</f>
        <v/>
      </c>
      <c r="AQ5" s="67"/>
      <c r="AR5" s="195"/>
      <c r="AS5" s="67"/>
      <c r="AT5" s="38"/>
      <c r="AU5" s="82"/>
      <c r="AV5" s="38"/>
      <c r="AW5" s="82"/>
      <c r="AX5" s="67"/>
      <c r="AY5" s="38"/>
      <c r="AZ5" s="38"/>
      <c r="BA5" s="38"/>
      <c r="BB5" s="38"/>
      <c r="BC5" s="38"/>
      <c r="BD5" s="38"/>
      <c r="BE5" s="38"/>
      <c r="BF5" s="73"/>
      <c r="BG5" s="79"/>
      <c r="BH5" s="79"/>
      <c r="BI5" s="79"/>
      <c r="BJ5" s="67"/>
      <c r="BK5" s="67"/>
      <c r="BL5" s="67"/>
      <c r="BM5" s="67"/>
      <c r="BN5" s="67"/>
      <c r="BO5" s="67"/>
      <c r="BP5" s="67"/>
    </row>
    <row r="6" spans="1:69" ht="14.1" customHeight="1" x14ac:dyDescent="0.2">
      <c r="A6" s="191"/>
      <c r="B6" s="96" t="s">
        <v>6</v>
      </c>
      <c r="C6" s="205">
        <v>0</v>
      </c>
      <c r="D6" s="83" t="s">
        <v>4</v>
      </c>
      <c r="E6" s="97" t="s">
        <v>6</v>
      </c>
      <c r="F6" s="87">
        <f>C6</f>
        <v>0</v>
      </c>
      <c r="G6" s="86" t="s">
        <v>4</v>
      </c>
      <c r="H6" s="87"/>
      <c r="I6" s="87"/>
      <c r="J6" s="82">
        <f>IF(C6&gt;90,C6-90,C6+90)</f>
        <v>90</v>
      </c>
      <c r="K6" s="82" t="s">
        <v>4</v>
      </c>
      <c r="L6" s="82"/>
      <c r="M6" s="38"/>
      <c r="N6" s="38" t="s">
        <v>166</v>
      </c>
      <c r="O6" s="38"/>
      <c r="P6" s="38"/>
      <c r="Q6" s="38"/>
      <c r="R6" s="91" t="str">
        <f>IF(ABS(F13)&lt;ABS(F12),"IA &lt; GA  -&gt; Hartlinsenvorteil","GA &lt; IA  -&gt; Weichlinsenvorteil")</f>
        <v>IA &lt; GA  -&gt; Hartlinsenvorteil</v>
      </c>
      <c r="S6" s="91"/>
      <c r="T6" s="91"/>
      <c r="U6" s="91"/>
      <c r="V6" s="91"/>
      <c r="W6" s="90"/>
      <c r="X6" s="90"/>
      <c r="Y6" s="90"/>
      <c r="Z6" s="90"/>
      <c r="AA6" s="82"/>
      <c r="AB6" s="38"/>
      <c r="AC6" s="82"/>
      <c r="AD6" s="194"/>
      <c r="AE6" s="82"/>
      <c r="AF6" s="82"/>
      <c r="AG6" s="194"/>
      <c r="AH6" s="93" t="s">
        <v>22</v>
      </c>
      <c r="AI6" s="67"/>
      <c r="AJ6" s="67"/>
      <c r="AK6" s="95" t="s">
        <v>47</v>
      </c>
      <c r="AL6" s="73" t="str">
        <f>IF(AN14&gt;0.301,"stark",IF(AN14&lt;0.09,"gering","normal"))</f>
        <v>stark</v>
      </c>
      <c r="AM6" s="67"/>
      <c r="AN6" s="67" t="s">
        <v>23</v>
      </c>
      <c r="AO6" s="67"/>
      <c r="AP6" s="67"/>
      <c r="AQ6" s="67"/>
      <c r="AR6" s="195"/>
      <c r="AS6" s="67"/>
      <c r="AT6" s="67"/>
      <c r="AU6" s="38"/>
      <c r="AV6" s="38"/>
      <c r="AW6" s="67"/>
      <c r="AX6" s="82"/>
      <c r="AY6" s="38"/>
      <c r="AZ6" s="38"/>
      <c r="BA6" s="38"/>
      <c r="BB6" s="38"/>
      <c r="BC6" s="38"/>
      <c r="BD6" s="38"/>
      <c r="BE6" s="38"/>
      <c r="BF6" s="73"/>
      <c r="BG6" s="67"/>
      <c r="BH6" s="67"/>
      <c r="BI6" s="67"/>
      <c r="BJ6" s="67"/>
      <c r="BK6" s="67"/>
      <c r="BL6" s="67"/>
      <c r="BM6" s="67"/>
      <c r="BN6" s="67"/>
      <c r="BO6" s="67"/>
      <c r="BP6" s="67"/>
    </row>
    <row r="7" spans="1:69" ht="14.1" customHeight="1" x14ac:dyDescent="0.2">
      <c r="A7" s="191"/>
      <c r="B7" s="96" t="s">
        <v>40</v>
      </c>
      <c r="C7" s="206">
        <v>0</v>
      </c>
      <c r="D7" s="83" t="s">
        <v>1</v>
      </c>
      <c r="E7" s="97" t="s">
        <v>40</v>
      </c>
      <c r="F7" s="87">
        <v>0</v>
      </c>
      <c r="G7" s="86" t="s">
        <v>1</v>
      </c>
      <c r="H7" s="87"/>
      <c r="I7" s="87"/>
      <c r="J7" s="86"/>
      <c r="K7" s="86"/>
      <c r="L7" s="67"/>
      <c r="M7" s="38"/>
      <c r="N7" s="67"/>
      <c r="O7" s="67"/>
      <c r="P7" s="73"/>
      <c r="Q7" s="73"/>
      <c r="R7" s="91" t="str">
        <f>IF(ABS(F13)&lt;ABS(F12),IF(ABS(F13)&lt;=0.50001,"IA &lt;= 0,5  -&gt; sphärisch wirksame Linse","IA &gt; 0,5  -&gt;  astigmatische Linse"),IF(ABS(F12)&lt;=0.5,"GA &lt;= 0,5  -&gt; sphärisch wirksame Linse","GA &gt; 0,5  -&gt;  astigmatische Linse"))</f>
        <v>IA &lt;= 0,5  -&gt; sphärisch wirksame Linse</v>
      </c>
      <c r="S7" s="91"/>
      <c r="T7" s="91"/>
      <c r="U7" s="91"/>
      <c r="V7" s="90"/>
      <c r="W7" s="90"/>
      <c r="X7" s="90"/>
      <c r="Y7" s="90"/>
      <c r="Z7" s="90"/>
      <c r="AA7" s="67"/>
      <c r="AB7" s="38"/>
      <c r="AC7" s="67"/>
      <c r="AD7" s="195"/>
      <c r="AE7" s="67"/>
      <c r="AF7" s="67"/>
      <c r="AG7" s="195"/>
      <c r="AH7" s="93" t="s">
        <v>33</v>
      </c>
      <c r="AI7" s="67"/>
      <c r="AJ7" s="67"/>
      <c r="AK7" s="95" t="s">
        <v>47</v>
      </c>
      <c r="AL7" s="73" t="s">
        <v>24</v>
      </c>
      <c r="AM7" s="95" t="s">
        <v>25</v>
      </c>
      <c r="AN7" s="93">
        <f>-AN14*6</f>
        <v>-2.8199999999999985</v>
      </c>
      <c r="AO7" s="67">
        <f>IF(C9&gt;C11,C10,IF(C10&gt;90,C10-90,C10+90))</f>
        <v>0</v>
      </c>
      <c r="AP7" s="67" t="s">
        <v>4</v>
      </c>
      <c r="AQ7" s="67"/>
      <c r="AR7" s="195"/>
      <c r="AS7" s="67"/>
      <c r="AT7" s="98"/>
      <c r="AU7" s="38"/>
      <c r="AV7" s="38"/>
      <c r="AW7" s="38"/>
      <c r="AX7" s="67"/>
      <c r="AY7" s="38"/>
      <c r="AZ7" s="38"/>
      <c r="BA7" s="38"/>
      <c r="BB7" s="38"/>
      <c r="BC7" s="38"/>
      <c r="BD7" s="38"/>
      <c r="BE7" s="38"/>
      <c r="BF7" s="73"/>
      <c r="BG7" s="79"/>
      <c r="BH7" s="67"/>
      <c r="BI7" s="67"/>
      <c r="BJ7" s="67"/>
      <c r="BK7" s="67"/>
      <c r="BL7" s="67"/>
      <c r="BM7" s="93"/>
      <c r="BN7" s="99"/>
      <c r="BO7" s="100"/>
      <c r="BP7" s="67"/>
    </row>
    <row r="8" spans="1:69" ht="15" customHeight="1" x14ac:dyDescent="0.2">
      <c r="A8" s="191"/>
      <c r="B8" s="101" t="s">
        <v>131</v>
      </c>
      <c r="C8" s="69"/>
      <c r="D8" s="83"/>
      <c r="E8" s="102" t="s">
        <v>135</v>
      </c>
      <c r="F8" s="87"/>
      <c r="G8" s="87"/>
      <c r="H8" s="87"/>
      <c r="I8" s="87"/>
      <c r="J8" s="86"/>
      <c r="K8" s="86"/>
      <c r="L8" s="67"/>
      <c r="M8" s="38"/>
      <c r="N8" s="38"/>
      <c r="O8" s="38"/>
      <c r="P8" s="38"/>
      <c r="Q8" s="38"/>
      <c r="R8" s="91" t="str">
        <f>IF(ABS(F13)&lt;ABS(F12),IF(AN14&lt;0.4,"Δ rc &lt; 0,4  -&gt;  rotationssymmetrische Rückfläche","Δ rc &gt;= 0,4  -&gt;  rücktorische Fläche"),"")</f>
        <v>Δ rc &gt;= 0,4  -&gt;  rücktorische Fläche</v>
      </c>
      <c r="S8" s="91"/>
      <c r="T8" s="91"/>
      <c r="U8" s="91"/>
      <c r="V8" s="91"/>
      <c r="W8" s="91"/>
      <c r="X8" s="91"/>
      <c r="Y8" s="91"/>
      <c r="Z8" s="91"/>
      <c r="AA8" s="38"/>
      <c r="AB8" s="38"/>
      <c r="AC8" s="67"/>
      <c r="AD8" s="195"/>
      <c r="AE8" s="67"/>
      <c r="AF8" s="67"/>
      <c r="AG8" s="195"/>
      <c r="AH8" s="73" t="s">
        <v>26</v>
      </c>
      <c r="AI8" s="95" t="s">
        <v>25</v>
      </c>
      <c r="AJ8" s="93">
        <f>F5</f>
        <v>-3</v>
      </c>
      <c r="AK8" s="67">
        <f>IF(C5=0," ",C6)</f>
        <v>0</v>
      </c>
      <c r="AL8" s="73" t="s">
        <v>53</v>
      </c>
      <c r="AM8" s="95" t="s">
        <v>25</v>
      </c>
      <c r="AN8" s="93">
        <f>IF(AL3=AN3,AJ8-AN7,AJ8*(-1)-AN7)</f>
        <v>-0.18000000000000149</v>
      </c>
      <c r="AO8" s="103">
        <f>AO7</f>
        <v>0</v>
      </c>
      <c r="AP8" s="103" t="s">
        <v>4</v>
      </c>
      <c r="AQ8" s="103"/>
      <c r="AR8" s="198"/>
      <c r="AS8" s="103"/>
      <c r="AT8" s="67"/>
      <c r="AU8" s="104"/>
      <c r="AV8" s="104"/>
      <c r="AW8" s="67"/>
      <c r="AX8" s="67"/>
      <c r="AY8" s="38"/>
      <c r="AZ8" s="38"/>
      <c r="BA8" s="38"/>
      <c r="BB8" s="38"/>
      <c r="BC8" s="38"/>
      <c r="BD8" s="38"/>
      <c r="BE8" s="38"/>
      <c r="BF8" s="73"/>
      <c r="BG8" s="79"/>
      <c r="BH8" s="67"/>
      <c r="BI8" s="67"/>
      <c r="BJ8" s="67"/>
      <c r="BK8" s="67"/>
      <c r="BL8" s="67"/>
      <c r="BM8" s="93"/>
      <c r="BN8" s="99"/>
      <c r="BO8" s="100"/>
      <c r="BP8" s="67"/>
    </row>
    <row r="9" spans="1:69" ht="14.1" customHeight="1" x14ac:dyDescent="0.2">
      <c r="A9" s="191"/>
      <c r="B9" s="83" t="s">
        <v>5</v>
      </c>
      <c r="C9" s="203">
        <v>7.81</v>
      </c>
      <c r="D9" s="83" t="s">
        <v>1</v>
      </c>
      <c r="E9" s="105" t="s">
        <v>136</v>
      </c>
      <c r="F9" s="106" t="str">
        <f>AL5</f>
        <v>normale</v>
      </c>
      <c r="G9" s="87" t="str">
        <f>AN5</f>
        <v>Zentralradien</v>
      </c>
      <c r="H9" s="87"/>
      <c r="I9" s="87"/>
      <c r="J9" s="86"/>
      <c r="K9" s="86"/>
      <c r="L9" s="67"/>
      <c r="M9" s="38"/>
      <c r="N9" s="38"/>
      <c r="O9" s="38"/>
      <c r="P9" s="38"/>
      <c r="Q9" s="38"/>
      <c r="R9" s="90" t="str">
        <f>IF(R5="RT - rücktorische HL / BTX",IF(AND(R5="RT - rücktorische HL / BTX",ABS(F11/3-F13)&lt;=0.1),"RT - Vollkorrektionsfall weil IA=HHA/3","RT - Linse als Messlinse für BTX"),"")</f>
        <v/>
      </c>
      <c r="S9" s="38"/>
      <c r="T9" s="90"/>
      <c r="U9" s="90"/>
      <c r="V9" s="90"/>
      <c r="W9" s="91"/>
      <c r="X9" s="91"/>
      <c r="Y9" s="91"/>
      <c r="Z9" s="91"/>
      <c r="AA9" s="91"/>
      <c r="AB9" s="38"/>
      <c r="AC9" s="67"/>
      <c r="AD9" s="195"/>
      <c r="AE9" s="67"/>
      <c r="AF9" s="67"/>
      <c r="AG9" s="195"/>
      <c r="AH9" s="69" t="s">
        <v>62</v>
      </c>
      <c r="AI9" s="67"/>
      <c r="AJ9" s="38"/>
      <c r="AK9" s="67"/>
      <c r="AL9" s="73"/>
      <c r="AM9" s="38"/>
      <c r="AN9" s="67"/>
      <c r="AO9" s="107" t="str">
        <f>IF(ABS(AN8)&lt;ABS(AJ8),IF(ABS(AN8)&gt;0.50001,IF(AN14&lt;0.4,"VPT - vorderprismatischtorische HL","RT - rücktorische HL / BTX"),IF(AN14&lt;0.401,"RS - rotationssym. HL","BTC - bitorischkompensierte HL")),IF(ABS(AJ8)&gt;0.5,"torische Weichlinse","sph. wirksame Weichlinse"))</f>
        <v>BTC - bitorischkompensierte HL</v>
      </c>
      <c r="AP9" s="38"/>
      <c r="AQ9" s="107"/>
      <c r="AR9" s="199"/>
      <c r="AS9" s="69"/>
      <c r="AT9" s="38"/>
      <c r="AU9" s="38"/>
      <c r="AV9" s="38"/>
      <c r="AW9" s="38"/>
      <c r="AX9" s="67"/>
      <c r="AY9" s="38"/>
      <c r="AZ9" s="38"/>
      <c r="BA9" s="38"/>
      <c r="BB9" s="38"/>
      <c r="BC9" s="38"/>
      <c r="BD9" s="38"/>
      <c r="BE9" s="38"/>
      <c r="BF9" s="73"/>
      <c r="BG9" s="79"/>
      <c r="BH9" s="67"/>
      <c r="BI9" s="67"/>
      <c r="BJ9" s="67"/>
      <c r="BK9" s="67"/>
      <c r="BL9" s="67"/>
      <c r="BM9" s="93"/>
      <c r="BN9" s="99"/>
      <c r="BO9" s="100"/>
      <c r="BP9" s="67"/>
    </row>
    <row r="10" spans="1:69" ht="14.1" customHeight="1" x14ac:dyDescent="0.2">
      <c r="A10" s="191"/>
      <c r="B10" s="83" t="s">
        <v>44</v>
      </c>
      <c r="C10" s="207">
        <v>0</v>
      </c>
      <c r="D10" s="83" t="s">
        <v>4</v>
      </c>
      <c r="E10" s="105" t="s">
        <v>154</v>
      </c>
      <c r="F10" s="106" t="str">
        <f>AL6</f>
        <v>stark</v>
      </c>
      <c r="G10" s="87" t="str">
        <f>AN6</f>
        <v>torische Hornhaut</v>
      </c>
      <c r="H10" s="87"/>
      <c r="I10" s="87"/>
      <c r="J10" s="86"/>
      <c r="K10" s="86"/>
      <c r="L10" s="67"/>
      <c r="M10" s="38"/>
      <c r="N10" s="38"/>
      <c r="O10" s="38"/>
      <c r="P10" s="38"/>
      <c r="Q10" s="38"/>
      <c r="R10" s="38"/>
      <c r="S10" s="67"/>
      <c r="T10" s="67"/>
      <c r="U10" s="67"/>
      <c r="V10" s="67"/>
      <c r="W10" s="38"/>
      <c r="X10" s="38"/>
      <c r="Y10" s="38"/>
      <c r="Z10" s="38"/>
      <c r="AA10" s="38"/>
      <c r="AB10" s="38"/>
      <c r="AC10" s="67"/>
      <c r="AD10" s="195"/>
      <c r="AE10" s="67"/>
      <c r="AF10" s="67"/>
      <c r="AG10" s="195"/>
      <c r="AH10" s="108" t="s">
        <v>15</v>
      </c>
      <c r="AI10" s="67" t="s">
        <v>13</v>
      </c>
      <c r="AJ10" s="109">
        <f>IF(C9&gt;=C11,C13+AN14,C13-AN14)</f>
        <v>8.129999999999999</v>
      </c>
      <c r="AK10" s="67" t="s">
        <v>1</v>
      </c>
      <c r="AL10" s="110" t="s">
        <v>17</v>
      </c>
      <c r="AM10" s="67" t="s">
        <v>13</v>
      </c>
      <c r="AN10" s="111">
        <f>IF(C9&gt;=C11,C15-AN14,C15+AN14)</f>
        <v>7.46</v>
      </c>
      <c r="AO10" s="67" t="s">
        <v>1</v>
      </c>
      <c r="AP10" s="67"/>
      <c r="AQ10" s="67"/>
      <c r="AR10" s="195"/>
      <c r="AS10" s="103"/>
      <c r="AT10" s="38"/>
      <c r="AU10" s="38"/>
      <c r="AV10" s="38"/>
      <c r="AW10" s="38"/>
      <c r="AX10" s="67"/>
      <c r="AY10" s="38"/>
      <c r="AZ10" s="38"/>
      <c r="BA10" s="38"/>
      <c r="BB10" s="38"/>
      <c r="BC10" s="38"/>
      <c r="BD10" s="38"/>
      <c r="BE10" s="38"/>
      <c r="BF10" s="73"/>
      <c r="BG10" s="67"/>
      <c r="BH10" s="67"/>
      <c r="BI10" s="67"/>
      <c r="BJ10" s="67"/>
      <c r="BK10" s="67"/>
      <c r="BL10" s="67"/>
      <c r="BM10" s="67"/>
      <c r="BN10" s="67"/>
      <c r="BO10" s="67"/>
      <c r="BP10" s="67"/>
    </row>
    <row r="11" spans="1:69" ht="14.1" customHeight="1" x14ac:dyDescent="0.2">
      <c r="A11" s="191"/>
      <c r="B11" s="83" t="s">
        <v>7</v>
      </c>
      <c r="C11" s="204">
        <v>7.34</v>
      </c>
      <c r="D11" s="83" t="s">
        <v>1</v>
      </c>
      <c r="E11" s="73" t="s">
        <v>137</v>
      </c>
      <c r="F11" s="85">
        <f>AN7</f>
        <v>-2.8199999999999985</v>
      </c>
      <c r="G11" s="87">
        <f>AO7</f>
        <v>0</v>
      </c>
      <c r="H11" s="87" t="s">
        <v>4</v>
      </c>
      <c r="I11" s="87"/>
      <c r="J11" s="86"/>
      <c r="K11" s="86"/>
      <c r="L11" s="67"/>
      <c r="M11" s="38"/>
      <c r="N11" s="78" t="s">
        <v>149</v>
      </c>
      <c r="O11" s="67"/>
      <c r="P11" s="38"/>
      <c r="Q11" s="73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195"/>
      <c r="AE11" s="67"/>
      <c r="AF11" s="67"/>
      <c r="AG11" s="195"/>
      <c r="AH11" s="108" t="s">
        <v>16</v>
      </c>
      <c r="AI11" s="67" t="s">
        <v>13</v>
      </c>
      <c r="AJ11" s="109">
        <f>IF(C9&gt;=C11,C14+AN14,C14-AN14)</f>
        <v>7.95</v>
      </c>
      <c r="AK11" s="67" t="s">
        <v>1</v>
      </c>
      <c r="AL11" s="110" t="s">
        <v>18</v>
      </c>
      <c r="AM11" s="67" t="s">
        <v>13</v>
      </c>
      <c r="AN11" s="111">
        <f>IF(C9&gt;=C11,C16-AN14,C16+AN14)</f>
        <v>7.5900000000000007</v>
      </c>
      <c r="AO11" s="67" t="s">
        <v>1</v>
      </c>
      <c r="AP11" s="67"/>
      <c r="AQ11" s="67"/>
      <c r="AR11" s="195"/>
      <c r="AS11" s="67"/>
      <c r="AT11" s="38"/>
      <c r="AU11" s="38"/>
      <c r="AV11" s="38"/>
      <c r="AW11" s="38"/>
      <c r="AX11" s="67"/>
      <c r="AY11" s="38"/>
      <c r="AZ11" s="38"/>
      <c r="BA11" s="38"/>
      <c r="BB11" s="38"/>
      <c r="BC11" s="38"/>
      <c r="BD11" s="38"/>
      <c r="BE11" s="38"/>
      <c r="BF11" s="73"/>
      <c r="BG11" s="79"/>
      <c r="BH11" s="67"/>
      <c r="BI11" s="67"/>
      <c r="BJ11" s="67"/>
      <c r="BK11" s="67"/>
      <c r="BL11" s="67"/>
      <c r="BM11" s="67"/>
      <c r="BN11" s="79"/>
      <c r="BO11" s="67"/>
      <c r="BP11" s="67"/>
    </row>
    <row r="12" spans="1:69" ht="15" customHeight="1" x14ac:dyDescent="0.2">
      <c r="A12" s="191"/>
      <c r="B12" s="83" t="s">
        <v>41</v>
      </c>
      <c r="C12" s="207">
        <v>30</v>
      </c>
      <c r="D12" s="83" t="s">
        <v>4</v>
      </c>
      <c r="E12" s="73" t="s">
        <v>138</v>
      </c>
      <c r="F12" s="85">
        <f>AJ8</f>
        <v>-3</v>
      </c>
      <c r="G12" s="87">
        <f>AK8</f>
        <v>0</v>
      </c>
      <c r="H12" s="87" t="s">
        <v>4</v>
      </c>
      <c r="I12" s="87"/>
      <c r="J12" s="86"/>
      <c r="K12" s="86"/>
      <c r="L12" s="67"/>
      <c r="M12" s="38"/>
      <c r="N12" s="212" t="s">
        <v>3</v>
      </c>
      <c r="O12" s="213">
        <f>AQ23</f>
        <v>5</v>
      </c>
      <c r="P12" s="214" t="s">
        <v>155</v>
      </c>
      <c r="Q12" s="215">
        <f>AN30</f>
        <v>7.7</v>
      </c>
      <c r="R12" s="213" t="s">
        <v>279</v>
      </c>
      <c r="S12" s="215">
        <f>AP30</f>
        <v>-2.75</v>
      </c>
      <c r="T12" s="213" t="s">
        <v>280</v>
      </c>
      <c r="U12" s="233">
        <f>F21</f>
        <v>9.1</v>
      </c>
      <c r="V12" s="217" t="s">
        <v>96</v>
      </c>
      <c r="W12" s="67"/>
      <c r="X12" s="67"/>
      <c r="Y12" s="67"/>
      <c r="Z12" s="112" t="s">
        <v>109</v>
      </c>
      <c r="AA12" s="113">
        <f>IF(AL3="Rectus",F6,J6)</f>
        <v>0</v>
      </c>
      <c r="AB12" s="114">
        <f>IF(AA12&gt;90,AA12-90,AA12+90)</f>
        <v>90</v>
      </c>
      <c r="AC12" s="67"/>
      <c r="AD12" s="195"/>
      <c r="AE12" s="67"/>
      <c r="AF12" s="67"/>
      <c r="AG12" s="195"/>
      <c r="AH12" s="73" t="s">
        <v>20</v>
      </c>
      <c r="AI12" s="67" t="s">
        <v>13</v>
      </c>
      <c r="AJ12" s="408">
        <f>(C9+C11)/2</f>
        <v>7.5749999999999993</v>
      </c>
      <c r="AK12" s="67" t="s">
        <v>1</v>
      </c>
      <c r="AL12" s="73" t="s">
        <v>12</v>
      </c>
      <c r="AM12" s="67" t="s">
        <v>13</v>
      </c>
      <c r="AN12" s="111">
        <f>IF(C9&gt;=C11,C9,C11)</f>
        <v>7.81</v>
      </c>
      <c r="AO12" s="116" t="s">
        <v>1</v>
      </c>
      <c r="AP12" s="38"/>
      <c r="AQ12" s="38"/>
      <c r="AR12" s="191"/>
      <c r="AS12" s="107"/>
      <c r="AT12" s="38"/>
      <c r="AU12" s="38"/>
      <c r="AV12" s="38"/>
      <c r="AW12" s="38"/>
      <c r="AX12" s="67"/>
      <c r="AY12" s="38"/>
      <c r="AZ12" s="38"/>
      <c r="BA12" s="38"/>
      <c r="BB12" s="38"/>
      <c r="BC12" s="38"/>
      <c r="BD12" s="38"/>
      <c r="BE12" s="38"/>
      <c r="BF12" s="73"/>
      <c r="BG12" s="67"/>
      <c r="BH12" s="67"/>
      <c r="BI12" s="67"/>
      <c r="BJ12" s="67"/>
      <c r="BK12" s="67"/>
      <c r="BL12" s="67"/>
      <c r="BM12" s="67"/>
      <c r="BN12" s="67"/>
      <c r="BO12" s="67"/>
      <c r="BP12" s="67"/>
    </row>
    <row r="13" spans="1:69" ht="15" customHeight="1" x14ac:dyDescent="0.2">
      <c r="A13" s="191"/>
      <c r="B13" s="83" t="s">
        <v>8</v>
      </c>
      <c r="C13" s="204">
        <v>7.66</v>
      </c>
      <c r="D13" s="83" t="s">
        <v>1</v>
      </c>
      <c r="E13" s="117" t="s">
        <v>139</v>
      </c>
      <c r="F13" s="85">
        <f>AN8</f>
        <v>-0.18000000000000149</v>
      </c>
      <c r="G13" s="118">
        <f>AO8</f>
        <v>0</v>
      </c>
      <c r="H13" s="87" t="s">
        <v>4</v>
      </c>
      <c r="I13" s="87"/>
      <c r="J13" s="86"/>
      <c r="K13" s="86"/>
      <c r="L13" s="67"/>
      <c r="M13" s="38"/>
      <c r="N13" s="119" t="s">
        <v>148</v>
      </c>
      <c r="O13" s="119"/>
      <c r="P13" s="120"/>
      <c r="Q13" s="100"/>
      <c r="R13" s="67"/>
      <c r="S13" s="100"/>
      <c r="T13" s="67"/>
      <c r="U13" s="67"/>
      <c r="V13" s="67"/>
      <c r="W13" s="67"/>
      <c r="X13" s="67"/>
      <c r="Y13" s="67"/>
      <c r="Z13" s="121" t="s">
        <v>97</v>
      </c>
      <c r="AA13" s="122">
        <f>IF(AL3="Rectus",F4*-1,J4*-1)</f>
        <v>2</v>
      </c>
      <c r="AB13" s="123">
        <f>IF(AL3="Rectus",(F4+F5)*-1,(J4+J5)*-1)</f>
        <v>5</v>
      </c>
      <c r="AC13" s="67"/>
      <c r="AD13" s="195"/>
      <c r="AE13" s="67"/>
      <c r="AF13" s="67"/>
      <c r="AG13" s="195"/>
      <c r="AH13" s="73" t="s">
        <v>21</v>
      </c>
      <c r="AI13" s="67" t="s">
        <v>13</v>
      </c>
      <c r="AJ13" s="408">
        <f>SUM(C13:C16)/4</f>
        <v>7.7825000000000006</v>
      </c>
      <c r="AK13" s="67" t="s">
        <v>1</v>
      </c>
      <c r="AL13" s="73" t="s">
        <v>14</v>
      </c>
      <c r="AM13" s="67" t="s">
        <v>13</v>
      </c>
      <c r="AN13" s="407">
        <f>IF(C9&gt;=C11,(C13+C14)/2+AN14,(C15+C16)/2+AN14)</f>
        <v>8.0399999999999991</v>
      </c>
      <c r="AO13" s="116" t="s">
        <v>1</v>
      </c>
      <c r="AP13" s="38"/>
      <c r="AQ13" s="38"/>
      <c r="AR13" s="191"/>
      <c r="AS13" s="67"/>
      <c r="AT13" s="38"/>
      <c r="AU13" s="38"/>
      <c r="AV13" s="38"/>
      <c r="AW13" s="38"/>
      <c r="AX13" s="67"/>
      <c r="AY13" s="38"/>
      <c r="AZ13" s="38"/>
      <c r="BA13" s="38"/>
      <c r="BB13" s="38"/>
      <c r="BC13" s="38"/>
      <c r="BD13" s="38"/>
      <c r="BE13" s="38"/>
      <c r="BF13" s="73"/>
      <c r="BG13" s="67"/>
      <c r="BH13" s="110"/>
      <c r="BI13" s="67"/>
      <c r="BJ13" s="67"/>
      <c r="BK13" s="67"/>
      <c r="BL13" s="67"/>
      <c r="BM13" s="67"/>
      <c r="BN13" s="73"/>
      <c r="BO13" s="93"/>
      <c r="BP13" s="67"/>
    </row>
    <row r="14" spans="1:69" ht="15" customHeight="1" x14ac:dyDescent="0.2">
      <c r="A14" s="191"/>
      <c r="B14" s="83" t="s">
        <v>9</v>
      </c>
      <c r="C14" s="204">
        <v>7.48</v>
      </c>
      <c r="D14" s="83" t="s">
        <v>1</v>
      </c>
      <c r="E14" s="105" t="s">
        <v>140</v>
      </c>
      <c r="F14" s="87" t="str">
        <f>AO9</f>
        <v>BTC - bitorischkompensierte HL</v>
      </c>
      <c r="G14" s="87"/>
      <c r="H14" s="87"/>
      <c r="I14" s="87"/>
      <c r="J14" s="38"/>
      <c r="K14" s="38"/>
      <c r="L14" s="107" t="str">
        <f>IF(AO9="RT-rücktorische HL",IF(F13=F11/3,"(RT-Vollkorrektion)","(BTX)"),IF(AO9="torische Weichlinse",IF(ABS(C5)&lt;3,"(Standard)","(individuell)"),""))</f>
        <v/>
      </c>
      <c r="M14" s="38"/>
      <c r="N14" s="218" t="str">
        <f>IF(O12=0,"","AZ")</f>
        <v>AZ</v>
      </c>
      <c r="O14" s="219">
        <f>IF(O12=0,"",AJ31)</f>
        <v>6</v>
      </c>
      <c r="P14" s="220" t="str">
        <f>IF(O12=0,"","(ro")</f>
        <v>(ro</v>
      </c>
      <c r="Q14" s="221">
        <f>IF(O12=0,"",AN31)</f>
        <v>7.6000000000000005</v>
      </c>
      <c r="R14" s="219" t="str">
        <f>IF(O12=0,"","/ S'")</f>
        <v>/ S'</v>
      </c>
      <c r="S14" s="221">
        <f>IF(O12=0,"",AP31)</f>
        <v>-3.25</v>
      </c>
      <c r="T14" s="219" t="str">
        <f>IF(O12=0,"","/ Ø")</f>
        <v>/ Ø</v>
      </c>
      <c r="U14" s="501">
        <f>IF(O12=0,"",F21)</f>
        <v>9.1</v>
      </c>
      <c r="V14" s="223" t="str">
        <f>IF(O12=0,"",")")</f>
        <v>)</v>
      </c>
      <c r="W14" s="67"/>
      <c r="X14" s="67"/>
      <c r="Y14" s="67"/>
      <c r="Z14" s="121" t="str">
        <f>"+S'TL"</f>
        <v>+S'TL</v>
      </c>
      <c r="AA14" s="122">
        <f>(C9-AN30)*5</f>
        <v>0.54999999999999716</v>
      </c>
      <c r="AB14" s="125">
        <f>(C11-AN30)*5</f>
        <v>-1.8000000000000016</v>
      </c>
      <c r="AC14" s="67"/>
      <c r="AD14" s="191"/>
      <c r="AE14" s="38"/>
      <c r="AF14" s="67"/>
      <c r="AG14" s="195"/>
      <c r="AH14" s="82" t="s">
        <v>142</v>
      </c>
      <c r="AI14" s="82"/>
      <c r="AJ14" s="98">
        <f>RADIANS(C12)</f>
        <v>0.52359877559829882</v>
      </c>
      <c r="AK14" s="82"/>
      <c r="AL14" s="73" t="s">
        <v>63</v>
      </c>
      <c r="AM14" s="67" t="s">
        <v>13</v>
      </c>
      <c r="AN14" s="111">
        <f>IF(C9&gt;=C11,C9-C11,C11-C9)</f>
        <v>0.46999999999999975</v>
      </c>
      <c r="AO14" s="116" t="s">
        <v>1</v>
      </c>
      <c r="AP14" s="38"/>
      <c r="AQ14" s="38"/>
      <c r="AR14" s="191"/>
      <c r="AS14" s="67"/>
      <c r="AT14" s="38"/>
      <c r="AU14" s="38"/>
      <c r="AV14" s="38"/>
      <c r="AW14" s="38"/>
      <c r="AX14" s="67"/>
      <c r="AY14" s="38"/>
      <c r="AZ14" s="38"/>
      <c r="BA14" s="38"/>
      <c r="BB14" s="38"/>
      <c r="BC14" s="38"/>
      <c r="BD14" s="38"/>
      <c r="BE14" s="38"/>
      <c r="BF14" s="73"/>
      <c r="BG14" s="67"/>
      <c r="BH14" s="89"/>
      <c r="BI14" s="67"/>
      <c r="BJ14" s="67"/>
      <c r="BK14" s="67"/>
      <c r="BL14" s="67"/>
      <c r="BM14" s="67"/>
      <c r="BN14" s="73"/>
      <c r="BO14" s="93"/>
      <c r="BP14" s="67"/>
    </row>
    <row r="15" spans="1:69" ht="15" customHeight="1" x14ac:dyDescent="0.3">
      <c r="A15" s="191"/>
      <c r="B15" s="83" t="s">
        <v>10</v>
      </c>
      <c r="C15" s="204">
        <v>7.93</v>
      </c>
      <c r="D15" s="83" t="s">
        <v>1</v>
      </c>
      <c r="E15" s="97" t="s">
        <v>163</v>
      </c>
      <c r="F15" s="126">
        <f>AN15</f>
        <v>0.45900000000000002</v>
      </c>
      <c r="G15" s="127" t="s">
        <v>47</v>
      </c>
      <c r="H15" s="87" t="str">
        <f>AM19</f>
        <v>normale HH-Abflachung</v>
      </c>
      <c r="I15" s="87"/>
      <c r="J15" s="86"/>
      <c r="K15" s="86"/>
      <c r="L15" s="83"/>
      <c r="M15" s="38"/>
      <c r="N15" s="67"/>
      <c r="O15" s="67"/>
      <c r="P15" s="73"/>
      <c r="Q15" s="100"/>
      <c r="R15" s="67"/>
      <c r="S15" s="100"/>
      <c r="T15" s="67"/>
      <c r="U15" s="67"/>
      <c r="V15" s="67"/>
      <c r="W15" s="67"/>
      <c r="X15" s="67"/>
      <c r="Y15" s="67"/>
      <c r="Z15" s="121" t="str">
        <f>"+S'KL"</f>
        <v>+S'KL</v>
      </c>
      <c r="AA15" s="128">
        <f>(AA13+AA14)*-1</f>
        <v>-2.5499999999999972</v>
      </c>
      <c r="AB15" s="129">
        <f>(AB13+AB14)*-1</f>
        <v>-3.1999999999999984</v>
      </c>
      <c r="AC15" s="38"/>
      <c r="AD15" s="191"/>
      <c r="AE15" s="38"/>
      <c r="AF15" s="67"/>
      <c r="AG15" s="195"/>
      <c r="AH15" s="108" t="s">
        <v>29</v>
      </c>
      <c r="AI15" s="130">
        <f>C12</f>
        <v>30</v>
      </c>
      <c r="AJ15" s="131">
        <f>IF(AJ12&lt;AJ13,1/SIN(AJ14)*SQRT(1-(AJ12*AJ12)/(AJ13*AJ13)),1/SIN(AJ14)*SQRT((AJ12*AJ12)/(AJ13*AJ13)-1)*(-1))</f>
        <v>0.45875433255269571</v>
      </c>
      <c r="AK15" s="38"/>
      <c r="AL15" s="108" t="s">
        <v>144</v>
      </c>
      <c r="AM15" s="38" t="s">
        <v>13</v>
      </c>
      <c r="AN15" s="132">
        <f>IF(AI15&lt;30,ROUND(AJ15+0.1,3),ROUND(AJ15,3))</f>
        <v>0.45900000000000002</v>
      </c>
      <c r="AO15" s="38"/>
      <c r="AP15" s="38"/>
      <c r="AQ15" s="38"/>
      <c r="AR15" s="191"/>
      <c r="AS15" s="38"/>
      <c r="AT15" s="38"/>
      <c r="AU15" s="38"/>
      <c r="AV15" s="38"/>
      <c r="AW15" s="38"/>
      <c r="AX15" s="67"/>
      <c r="AY15" s="38"/>
      <c r="AZ15" s="38"/>
      <c r="BA15" s="38"/>
      <c r="BB15" s="38"/>
      <c r="BC15" s="38"/>
      <c r="BD15" s="38"/>
      <c r="BE15" s="38"/>
      <c r="BF15" s="73"/>
      <c r="BG15" s="67"/>
      <c r="BH15" s="67"/>
      <c r="BI15" s="67"/>
      <c r="BJ15" s="67"/>
      <c r="BK15" s="67"/>
      <c r="BL15" s="67"/>
      <c r="BM15" s="67"/>
      <c r="BN15" s="73"/>
      <c r="BO15" s="93"/>
      <c r="BP15" s="67"/>
    </row>
    <row r="16" spans="1:69" ht="15" customHeight="1" thickBot="1" x14ac:dyDescent="0.35">
      <c r="A16" s="191"/>
      <c r="B16" s="83" t="s">
        <v>11</v>
      </c>
      <c r="C16" s="208">
        <v>8.06</v>
      </c>
      <c r="D16" s="83" t="s">
        <v>1</v>
      </c>
      <c r="E16" s="97" t="s">
        <v>164</v>
      </c>
      <c r="F16" s="126">
        <f>AN16</f>
        <v>0.47499999999999998</v>
      </c>
      <c r="G16" s="127" t="s">
        <v>47</v>
      </c>
      <c r="H16" s="87" t="str">
        <f>AK29</f>
        <v>Steilanpassung  (RS-Linse)</v>
      </c>
      <c r="I16" s="87"/>
      <c r="J16" s="86"/>
      <c r="K16" s="86"/>
      <c r="L16" s="83"/>
      <c r="M16" s="38"/>
      <c r="N16" s="78" t="s">
        <v>281</v>
      </c>
      <c r="O16" s="38"/>
      <c r="P16" s="38"/>
      <c r="Q16" s="133"/>
      <c r="R16" s="38"/>
      <c r="S16" s="133"/>
      <c r="T16" s="38"/>
      <c r="U16" s="38"/>
      <c r="V16" s="38"/>
      <c r="W16" s="38"/>
      <c r="X16" s="38"/>
      <c r="Y16" s="38"/>
      <c r="Z16" s="134" t="str">
        <f>"=GRD"</f>
        <v>=GRD</v>
      </c>
      <c r="AA16" s="135">
        <v>0</v>
      </c>
      <c r="AB16" s="136">
        <v>0</v>
      </c>
      <c r="AC16" s="38"/>
      <c r="AD16" s="195"/>
      <c r="AE16" s="67"/>
      <c r="AF16" s="67"/>
      <c r="AG16" s="195"/>
      <c r="AH16" s="108" t="s">
        <v>30</v>
      </c>
      <c r="AI16" s="130">
        <f>C12</f>
        <v>30</v>
      </c>
      <c r="AJ16" s="131">
        <f>ROUND(IF(AN12&lt;AN13,1/SIN(AJ14)*SQRT(1-(AN12*AN12)/(AN13*AN13)),1/SIN(AJ14)*SQRT((AN12*AN12)/(AN13*AN13)-1)*(-1)),3)</f>
        <v>0.47499999999999998</v>
      </c>
      <c r="AK16" s="38"/>
      <c r="AL16" s="108" t="s">
        <v>143</v>
      </c>
      <c r="AM16" s="38" t="s">
        <v>13</v>
      </c>
      <c r="AN16" s="132">
        <f>IF(AI16&lt;30,ROUND(AJ16+0.1,3),ROUND(AJ16,3))</f>
        <v>0.47499999999999998</v>
      </c>
      <c r="AO16" s="38"/>
      <c r="AP16" s="38"/>
      <c r="AQ16" s="38"/>
      <c r="AR16" s="191"/>
      <c r="AS16" s="38"/>
      <c r="AT16" s="67"/>
      <c r="AU16" s="67"/>
      <c r="AV16" s="67"/>
      <c r="AW16" s="67"/>
      <c r="AX16" s="67"/>
      <c r="AY16" s="38"/>
      <c r="AZ16" s="38"/>
      <c r="BA16" s="38"/>
      <c r="BB16" s="38"/>
      <c r="BC16" s="38"/>
      <c r="BD16" s="38"/>
      <c r="BE16" s="38"/>
      <c r="BF16" s="73"/>
      <c r="BG16" s="67"/>
      <c r="BH16" s="67"/>
      <c r="BI16" s="67"/>
      <c r="BJ16" s="67"/>
      <c r="BK16" s="67"/>
      <c r="BL16" s="137"/>
      <c r="BM16" s="67"/>
      <c r="BN16" s="73"/>
      <c r="BO16" s="93"/>
      <c r="BP16" s="67"/>
    </row>
    <row r="17" spans="1:68" ht="14.1" customHeight="1" x14ac:dyDescent="0.2">
      <c r="A17" s="191"/>
      <c r="B17" s="83"/>
      <c r="C17" s="38"/>
      <c r="D17" s="83"/>
      <c r="E17" s="97"/>
      <c r="F17" s="126"/>
      <c r="G17" s="127"/>
      <c r="H17" s="87"/>
      <c r="I17" s="87"/>
      <c r="J17" s="86"/>
      <c r="K17" s="86"/>
      <c r="L17" s="83"/>
      <c r="M17" s="38"/>
      <c r="N17" s="571" t="str">
        <f>IF(ABS(C9-C11)&gt;=0.45,IF(ABS(F12)&gt;ABS(F11),"RT   AZ","BTC AZ"),"")</f>
        <v>RT   AZ</v>
      </c>
      <c r="O17" s="225">
        <f>IF(ABS(C9-C11)&gt;=0.45,O12,"")</f>
        <v>5</v>
      </c>
      <c r="P17" s="226" t="str">
        <f>IF(ABS(C9-C11)&gt;=0.45,"(ro","")</f>
        <v>(ro</v>
      </c>
      <c r="Q17" s="227">
        <f>IF(ABS(C9-C11)&gt;=0.45,MROUND(C9,0.05),"")</f>
        <v>7.8000000000000007</v>
      </c>
      <c r="R17" s="225"/>
      <c r="S17" s="570">
        <f>IF(ABS(C9-C11)&gt;=0.45,MROUND(C11+0.15,0.05),"")</f>
        <v>7.5</v>
      </c>
      <c r="T17" s="225" t="str">
        <f>IF(ABS(C9-C11)&gt;=0.45,"/ S' ","")</f>
        <v xml:space="preserve">/ S' </v>
      </c>
      <c r="U17" s="502">
        <f>IF(Q17="","",C4)</f>
        <v>-2</v>
      </c>
      <c r="V17" s="225" t="str">
        <f>IF(ABS(C9-C11)&gt;=0.45,"/ Ø","")</f>
        <v>/ Ø</v>
      </c>
      <c r="W17" s="569">
        <f>IF(ABS(C9-C11)&gt;=0.45,U12,"")</f>
        <v>9.1</v>
      </c>
      <c r="X17" s="568" t="str">
        <f>IF(ABS(C9-C11)&gt;=0.45,V12,"")</f>
        <v>)</v>
      </c>
      <c r="Y17" s="67"/>
      <c r="Z17" s="38"/>
      <c r="AA17" s="38"/>
      <c r="AB17" s="38"/>
      <c r="AC17" s="67"/>
      <c r="AD17" s="195"/>
      <c r="AE17" s="67"/>
      <c r="AF17" s="67"/>
      <c r="AG17" s="195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191"/>
      <c r="AS17" s="69"/>
      <c r="AT17" s="67"/>
      <c r="AU17" s="67"/>
      <c r="AV17" s="67"/>
      <c r="AW17" s="67"/>
      <c r="AX17" s="67"/>
      <c r="AY17" s="38"/>
      <c r="AZ17" s="38"/>
      <c r="BA17" s="38"/>
      <c r="BB17" s="38"/>
      <c r="BC17" s="38"/>
      <c r="BD17" s="38"/>
      <c r="BE17" s="38"/>
      <c r="BF17" s="73"/>
      <c r="BG17" s="67"/>
      <c r="BH17" s="67"/>
      <c r="BI17" s="67"/>
      <c r="BJ17" s="67"/>
      <c r="BK17" s="67"/>
      <c r="BL17" s="137"/>
      <c r="BM17" s="67"/>
      <c r="BN17" s="73"/>
      <c r="BO17" s="93"/>
      <c r="BP17" s="67"/>
    </row>
    <row r="18" spans="1:68" ht="14.1" customHeight="1" x14ac:dyDescent="0.2">
      <c r="A18" s="191"/>
      <c r="B18" s="74" t="s">
        <v>132</v>
      </c>
      <c r="C18" s="69"/>
      <c r="D18" s="83"/>
      <c r="E18" s="105"/>
      <c r="F18" s="87"/>
      <c r="G18" s="87"/>
      <c r="H18" s="87"/>
      <c r="I18" s="87"/>
      <c r="J18" s="86"/>
      <c r="K18" s="86"/>
      <c r="L18" s="83"/>
      <c r="M18" s="38"/>
      <c r="N18" s="138" t="s">
        <v>282</v>
      </c>
      <c r="O18" s="67"/>
      <c r="P18" s="73"/>
      <c r="Q18" s="73"/>
      <c r="R18" s="67"/>
      <c r="S18" s="67"/>
      <c r="T18" s="67"/>
      <c r="U18" s="67"/>
      <c r="V18" s="67"/>
      <c r="W18" s="67"/>
      <c r="X18" s="67"/>
      <c r="Y18" s="67"/>
      <c r="Z18" s="234" t="s">
        <v>48</v>
      </c>
      <c r="AA18" s="235">
        <f>(AA15+AB15)/2</f>
        <v>-2.8749999999999978</v>
      </c>
      <c r="AB18" s="236" t="s">
        <v>37</v>
      </c>
      <c r="AC18" s="67"/>
      <c r="AD18" s="195"/>
      <c r="AE18" s="67"/>
      <c r="AF18" s="67"/>
      <c r="AG18" s="195"/>
      <c r="AH18" s="93" t="s">
        <v>158</v>
      </c>
      <c r="AI18" s="67"/>
      <c r="AJ18" s="67"/>
      <c r="AK18" s="67"/>
      <c r="AL18" s="67"/>
      <c r="AM18" s="89"/>
      <c r="AN18" s="67"/>
      <c r="AO18" s="67"/>
      <c r="AP18" s="67"/>
      <c r="AQ18" s="67"/>
      <c r="AR18" s="195"/>
      <c r="AS18" s="139" t="s">
        <v>2</v>
      </c>
      <c r="AT18" s="38"/>
      <c r="AU18" s="38"/>
      <c r="AV18" s="38"/>
      <c r="AW18" s="38"/>
      <c r="AX18" s="67"/>
      <c r="AY18" s="38"/>
      <c r="AZ18" s="38"/>
      <c r="BA18" s="38"/>
      <c r="BB18" s="38"/>
      <c r="BC18" s="38"/>
      <c r="BD18" s="38"/>
      <c r="BE18" s="38"/>
      <c r="BF18" s="73"/>
      <c r="BG18" s="67"/>
      <c r="BH18" s="67"/>
      <c r="BI18" s="67"/>
      <c r="BJ18" s="67"/>
      <c r="BK18" s="67"/>
      <c r="BL18" s="67"/>
      <c r="BM18" s="67"/>
      <c r="BN18" s="67"/>
      <c r="BO18" s="67"/>
      <c r="BP18" s="67"/>
    </row>
    <row r="19" spans="1:68" ht="15" customHeight="1" x14ac:dyDescent="0.3">
      <c r="A19" s="191"/>
      <c r="B19" s="83" t="s">
        <v>38</v>
      </c>
      <c r="C19" s="209">
        <v>10.8</v>
      </c>
      <c r="D19" s="83" t="s">
        <v>1</v>
      </c>
      <c r="E19" s="84" t="s">
        <v>242</v>
      </c>
      <c r="F19" s="106" t="str">
        <f>AM25</f>
        <v>normale</v>
      </c>
      <c r="G19" s="87" t="str">
        <f>AN25</f>
        <v>Lidspaltenhöhe</v>
      </c>
      <c r="H19" s="87"/>
      <c r="I19" s="87"/>
      <c r="J19" s="86"/>
      <c r="K19" s="86"/>
      <c r="L19" s="67"/>
      <c r="M19" s="38"/>
      <c r="N19" s="67"/>
      <c r="O19" s="67"/>
      <c r="P19" s="73"/>
      <c r="Q19" s="73"/>
      <c r="R19" s="67"/>
      <c r="S19" s="67"/>
      <c r="T19" s="67"/>
      <c r="U19" s="67"/>
      <c r="V19" s="67"/>
      <c r="W19" s="67"/>
      <c r="X19" s="67"/>
      <c r="Y19" s="67"/>
      <c r="Z19" s="98" t="s">
        <v>178</v>
      </c>
      <c r="AA19" s="238">
        <f>IF(Q17="","",IF(C9&gt;C11,AA13*(-1),AB13*(-1)))</f>
        <v>-2</v>
      </c>
      <c r="AB19" s="236" t="s">
        <v>37</v>
      </c>
      <c r="AC19" s="67"/>
      <c r="AD19" s="195"/>
      <c r="AE19" s="67"/>
      <c r="AF19" s="38"/>
      <c r="AG19" s="191"/>
      <c r="AH19" s="108" t="s">
        <v>144</v>
      </c>
      <c r="AI19" s="67" t="s">
        <v>13</v>
      </c>
      <c r="AJ19" s="491">
        <f>AN15</f>
        <v>0.45900000000000002</v>
      </c>
      <c r="AK19" s="140" t="s">
        <v>47</v>
      </c>
      <c r="AL19" s="67"/>
      <c r="AM19" s="89" t="str">
        <f>IF(AN15&lt;0.3,IF(AN15&lt;0,"versteilende Hornhaut","geringe HH-Abflachung"),IF(AN15&gt;0.7,"starke Abflachung /Keratokonus?","normale HH-Abflachung"))</f>
        <v>normale HH-Abflachung</v>
      </c>
      <c r="AN19" s="67"/>
      <c r="AO19" s="67"/>
      <c r="AP19" s="67"/>
      <c r="AQ19" s="67"/>
      <c r="AR19" s="191"/>
      <c r="AS19" s="69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73"/>
      <c r="BG19" s="67"/>
      <c r="BH19" s="67"/>
      <c r="BI19" s="67"/>
      <c r="BJ19" s="93"/>
      <c r="BK19" s="141"/>
      <c r="BL19" s="142"/>
      <c r="BM19" s="67"/>
      <c r="BN19" s="73"/>
      <c r="BO19" s="143"/>
      <c r="BP19" s="67"/>
    </row>
    <row r="20" spans="1:68" ht="15.75" customHeight="1" x14ac:dyDescent="0.3">
      <c r="A20" s="191"/>
      <c r="B20" s="83" t="s">
        <v>129</v>
      </c>
      <c r="C20" s="210">
        <v>12</v>
      </c>
      <c r="D20" s="83" t="s">
        <v>1</v>
      </c>
      <c r="E20" s="73" t="s">
        <v>240</v>
      </c>
      <c r="F20" s="144">
        <f>AJ26</f>
        <v>14</v>
      </c>
      <c r="G20" s="86" t="s">
        <v>1</v>
      </c>
      <c r="H20" s="87"/>
      <c r="I20" s="87"/>
      <c r="J20" s="87"/>
      <c r="K20" s="87"/>
      <c r="L20" s="38"/>
      <c r="M20" s="38"/>
      <c r="N20" s="78" t="s">
        <v>150</v>
      </c>
      <c r="O20" s="67"/>
      <c r="P20" s="38"/>
      <c r="Q20" s="73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96"/>
      <c r="AE20" s="38"/>
      <c r="AF20" s="38"/>
      <c r="AG20" s="191"/>
      <c r="AH20" s="108" t="s">
        <v>28</v>
      </c>
      <c r="AI20" s="67" t="s">
        <v>13</v>
      </c>
      <c r="AJ20" s="100">
        <f>IF(AN15&gt;=0.3,((INT(AN15*10))+1)/10,IF(AN15&lt;(-0.299),(INT(AN15*10)+1)/10,0))</f>
        <v>0.5</v>
      </c>
      <c r="AK20" s="140" t="s">
        <v>47</v>
      </c>
      <c r="AL20" s="67"/>
      <c r="AM20" s="89" t="s">
        <v>35</v>
      </c>
      <c r="AN20" s="67"/>
      <c r="AO20" s="89" t="str">
        <f>IF(AN15&lt;0.3,IF(AN15&lt;(-0.299),"oblonge Geometrie","sphärische Geometrie"),"asphärische Geometrie")</f>
        <v>asphärische Geometrie</v>
      </c>
      <c r="AP20" s="67"/>
      <c r="AQ20" s="67"/>
      <c r="AR20" s="195"/>
      <c r="AS20" s="139" t="s">
        <v>2</v>
      </c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73"/>
      <c r="BG20" s="67"/>
      <c r="BH20" s="67"/>
      <c r="BI20" s="67"/>
      <c r="BJ20" s="67"/>
      <c r="BK20" s="67"/>
      <c r="BL20" s="67"/>
      <c r="BM20" s="67"/>
      <c r="BN20" s="67"/>
      <c r="BO20" s="67"/>
      <c r="BP20" s="67"/>
    </row>
    <row r="21" spans="1:68" ht="13.5" customHeight="1" x14ac:dyDescent="0.2">
      <c r="A21" s="191"/>
      <c r="B21" s="83" t="s">
        <v>130</v>
      </c>
      <c r="C21" s="211">
        <v>10.6</v>
      </c>
      <c r="D21" s="83" t="s">
        <v>1</v>
      </c>
      <c r="E21" s="73" t="s">
        <v>241</v>
      </c>
      <c r="F21" s="144">
        <f>AJ27</f>
        <v>9.1</v>
      </c>
      <c r="G21" s="86" t="s">
        <v>1</v>
      </c>
      <c r="H21" s="87"/>
      <c r="I21" s="87"/>
      <c r="J21" s="87"/>
      <c r="K21" s="87"/>
      <c r="L21" s="38"/>
      <c r="M21" s="38"/>
      <c r="N21" s="230" t="str">
        <f>AH33</f>
        <v>tor. Weichlinse</v>
      </c>
      <c r="O21" s="213"/>
      <c r="P21" s="214"/>
      <c r="Q21" s="214"/>
      <c r="R21" s="213" t="s">
        <v>155</v>
      </c>
      <c r="S21" s="233">
        <f>AJ33</f>
        <v>8.5749999999999993</v>
      </c>
      <c r="T21" s="213" t="s">
        <v>147</v>
      </c>
      <c r="U21" s="215">
        <f>AL33</f>
        <v>-2</v>
      </c>
      <c r="V21" s="213"/>
      <c r="W21" s="215">
        <f>AM33</f>
        <v>-3</v>
      </c>
      <c r="X21" s="215"/>
      <c r="Y21" s="215"/>
      <c r="Z21" s="232">
        <f>AN33</f>
        <v>0</v>
      </c>
      <c r="AA21" s="213" t="s">
        <v>151</v>
      </c>
      <c r="AB21" s="233">
        <f>IF(N21="tor. Weichlinse",AP33+0.5,AP33)</f>
        <v>14.5</v>
      </c>
      <c r="AC21" s="217" t="s">
        <v>96</v>
      </c>
      <c r="AD21" s="191"/>
      <c r="AE21" s="38"/>
      <c r="AF21" s="67"/>
      <c r="AG21" s="195"/>
      <c r="AH21" s="93"/>
      <c r="AI21" s="67"/>
      <c r="AJ21" s="67"/>
      <c r="AK21" s="67"/>
      <c r="AL21" s="67"/>
      <c r="AM21" s="67"/>
      <c r="AN21" s="67"/>
      <c r="AO21" s="67"/>
      <c r="AP21" s="67"/>
      <c r="AQ21" s="67"/>
      <c r="AR21" s="195"/>
      <c r="AS21" s="139" t="s">
        <v>2</v>
      </c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73"/>
      <c r="BG21" s="67"/>
      <c r="BH21" s="67"/>
      <c r="BI21" s="67"/>
      <c r="BJ21" s="67"/>
      <c r="BK21" s="67"/>
      <c r="BL21" s="67"/>
      <c r="BM21" s="67"/>
      <c r="BN21" s="67"/>
      <c r="BO21" s="67"/>
      <c r="BP21" s="67"/>
    </row>
    <row r="22" spans="1:68" ht="12.75" customHeight="1" x14ac:dyDescent="0.2">
      <c r="A22" s="191"/>
      <c r="B22" s="87" t="s">
        <v>221</v>
      </c>
      <c r="C22" s="493">
        <v>1</v>
      </c>
      <c r="D22" s="87" t="s">
        <v>219</v>
      </c>
      <c r="E22" s="87"/>
      <c r="F22" s="87"/>
      <c r="G22" s="87"/>
      <c r="H22" s="87"/>
      <c r="I22" s="87"/>
      <c r="J22" s="87"/>
      <c r="K22" s="87"/>
      <c r="L22" s="87"/>
      <c r="M22" s="87"/>
      <c r="N22" s="87" t="s">
        <v>220</v>
      </c>
      <c r="O22" s="87"/>
      <c r="P22" s="87"/>
      <c r="Q22" s="87"/>
      <c r="R22" s="503">
        <f>IF(C22=1,1,IF(C22=3,0.6,IF(C22=2,0.8,1)))</f>
        <v>1</v>
      </c>
      <c r="S22" s="87" t="s">
        <v>1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191"/>
      <c r="AE22" s="38"/>
      <c r="AF22" s="67"/>
      <c r="AG22" s="195"/>
      <c r="AH22" s="93" t="s">
        <v>159</v>
      </c>
      <c r="AI22" s="67"/>
      <c r="AJ22" s="67"/>
      <c r="AK22" s="67"/>
      <c r="AL22" s="67"/>
      <c r="AM22" s="67"/>
      <c r="AN22" s="67"/>
      <c r="AO22" s="67"/>
      <c r="AP22" s="67"/>
      <c r="AQ22" s="67"/>
      <c r="AR22" s="195"/>
      <c r="AS22" s="69" t="s">
        <v>2</v>
      </c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73"/>
      <c r="BG22" s="67"/>
      <c r="BH22" s="93"/>
      <c r="BI22" s="67"/>
      <c r="BJ22" s="67"/>
      <c r="BK22" s="67"/>
      <c r="BL22" s="145"/>
      <c r="BM22" s="73"/>
      <c r="BN22" s="67"/>
      <c r="BO22" s="67"/>
      <c r="BP22" s="67"/>
    </row>
    <row r="23" spans="1:68" ht="15" customHeight="1" x14ac:dyDescent="0.3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67"/>
      <c r="AF23" s="67"/>
      <c r="AG23" s="195"/>
      <c r="AH23" s="108" t="s">
        <v>145</v>
      </c>
      <c r="AI23" s="67" t="s">
        <v>13</v>
      </c>
      <c r="AJ23" s="491">
        <f>AN16</f>
        <v>0.47499999999999998</v>
      </c>
      <c r="AK23" s="67"/>
      <c r="AL23" s="67"/>
      <c r="AM23" s="108" t="s">
        <v>28</v>
      </c>
      <c r="AN23" s="67" t="s">
        <v>13</v>
      </c>
      <c r="AO23" s="89">
        <f>AJ20</f>
        <v>0.5</v>
      </c>
      <c r="AP23" s="73" t="s">
        <v>156</v>
      </c>
      <c r="AQ23" s="146">
        <f>IF(AO23=0,0,AO23*10)</f>
        <v>5</v>
      </c>
      <c r="AR23" s="195"/>
      <c r="AS23" s="69" t="s">
        <v>2</v>
      </c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73"/>
      <c r="BG23" s="67"/>
      <c r="BH23" s="67"/>
      <c r="BI23" s="67"/>
      <c r="BJ23" s="67"/>
      <c r="BK23" s="67"/>
      <c r="BL23" s="67"/>
      <c r="BM23" s="73"/>
      <c r="BN23" s="67"/>
      <c r="BO23" s="67"/>
      <c r="BP23" s="67"/>
    </row>
    <row r="24" spans="1:68" ht="15" customHeight="1" x14ac:dyDescent="0.2">
      <c r="A24" s="191"/>
      <c r="B24" s="505" t="s">
        <v>231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191"/>
      <c r="AE24" s="103"/>
      <c r="AF24" s="103"/>
      <c r="AG24" s="195"/>
      <c r="AH24" s="38"/>
      <c r="AI24" s="119"/>
      <c r="AJ24" s="38" t="s">
        <v>2</v>
      </c>
      <c r="AK24" s="38"/>
      <c r="AL24" s="67"/>
      <c r="AM24" s="108" t="str">
        <f>IF(AO23&lt;&gt;0,"ro (Gleichlauf)","ro (Parallel)")</f>
        <v>ro (Gleichlauf)</v>
      </c>
      <c r="AN24" s="67" t="s">
        <v>13</v>
      </c>
      <c r="AO24" s="147">
        <f>IF(AO20="asphärische Geometrie",AN12-(AJ20-AN16)*0.7,IF(AO20="oblonge Geometrie",AN12-(AJ20-AN16)*0.7,AN12))</f>
        <v>7.7924999999999995</v>
      </c>
      <c r="AP24" s="119" t="s">
        <v>1</v>
      </c>
      <c r="AQ24" s="237">
        <f>MROUND(AO24,0.05)</f>
        <v>7.8000000000000007</v>
      </c>
      <c r="AR24" s="195"/>
      <c r="AS24" s="69" t="s">
        <v>2</v>
      </c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73"/>
      <c r="BG24" s="67"/>
      <c r="BH24" s="67"/>
      <c r="BI24" s="67"/>
      <c r="BJ24" s="67"/>
      <c r="BK24" s="67"/>
      <c r="BL24" s="145"/>
      <c r="BM24" s="73"/>
      <c r="BN24" s="67"/>
      <c r="BO24" s="67"/>
      <c r="BP24" s="67"/>
    </row>
    <row r="25" spans="1:68" ht="15" customHeight="1" x14ac:dyDescent="0.3">
      <c r="A25" s="191"/>
      <c r="B25" s="81" t="s">
        <v>246</v>
      </c>
      <c r="C25" s="506">
        <f>AJ10</f>
        <v>8.129999999999999</v>
      </c>
      <c r="D25" s="119" t="s">
        <v>1</v>
      </c>
      <c r="E25" s="81" t="s">
        <v>225</v>
      </c>
      <c r="F25" s="507">
        <f>AJ12</f>
        <v>7.5749999999999993</v>
      </c>
      <c r="G25" s="119" t="s">
        <v>1</v>
      </c>
      <c r="H25" s="12"/>
      <c r="I25" s="12"/>
      <c r="J25" s="508" t="s">
        <v>235</v>
      </c>
      <c r="K25" s="509">
        <f>F15</f>
        <v>0.45900000000000002</v>
      </c>
      <c r="L25" s="510" t="s">
        <v>47</v>
      </c>
      <c r="M25" s="12"/>
      <c r="N25" s="81"/>
      <c r="O25" s="119"/>
      <c r="P25" s="119"/>
      <c r="Q25" s="119"/>
      <c r="R25" s="119"/>
      <c r="S25" s="119"/>
      <c r="T25" s="119"/>
      <c r="U25" s="119"/>
      <c r="V25" s="119"/>
      <c r="W25" s="508" t="s">
        <v>238</v>
      </c>
      <c r="X25" s="508"/>
      <c r="Y25" s="508"/>
      <c r="Z25" s="120">
        <f>AJ20</f>
        <v>0.5</v>
      </c>
      <c r="AA25" s="119"/>
      <c r="AB25" s="119"/>
      <c r="AC25" s="119"/>
      <c r="AD25" s="191"/>
      <c r="AE25" s="67"/>
      <c r="AF25" s="67"/>
      <c r="AG25" s="195"/>
      <c r="AH25" s="93" t="s">
        <v>160</v>
      </c>
      <c r="AI25" s="67"/>
      <c r="AJ25" s="148"/>
      <c r="AK25" s="67"/>
      <c r="AL25" s="67"/>
      <c r="AM25" s="73" t="str">
        <f>IF(C19&lt;9,"kleine",IF(C19&gt;11,"große","normale"))</f>
        <v>normale</v>
      </c>
      <c r="AN25" s="67" t="s">
        <v>66</v>
      </c>
      <c r="AO25" s="38"/>
      <c r="AP25" s="67"/>
      <c r="AQ25" s="67"/>
      <c r="AR25" s="195"/>
      <c r="AS25" s="69" t="s">
        <v>2</v>
      </c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73"/>
      <c r="BG25" s="67"/>
      <c r="BH25" s="67"/>
      <c r="BI25" s="67"/>
      <c r="BJ25" s="67"/>
      <c r="BK25" s="67"/>
      <c r="BL25" s="67"/>
      <c r="BM25" s="67"/>
      <c r="BN25" s="67"/>
      <c r="BO25" s="67"/>
      <c r="BP25" s="67"/>
    </row>
    <row r="26" spans="1:68" ht="15" customHeight="1" x14ac:dyDescent="0.3">
      <c r="A26" s="191"/>
      <c r="B26" s="81" t="s">
        <v>247</v>
      </c>
      <c r="C26" s="506">
        <f>AJ11</f>
        <v>7.95</v>
      </c>
      <c r="D26" s="119" t="s">
        <v>1</v>
      </c>
      <c r="E26" s="81" t="s">
        <v>243</v>
      </c>
      <c r="F26" s="507">
        <f>AJ13</f>
        <v>7.7825000000000006</v>
      </c>
      <c r="G26" s="119" t="s">
        <v>1</v>
      </c>
      <c r="H26" s="12"/>
      <c r="I26" s="12"/>
      <c r="J26" s="508" t="s">
        <v>236</v>
      </c>
      <c r="K26" s="509">
        <f>F16</f>
        <v>0.47499999999999998</v>
      </c>
      <c r="L26" s="510" t="s">
        <v>47</v>
      </c>
      <c r="M26" s="12"/>
      <c r="N26" s="12"/>
      <c r="O26" s="119"/>
      <c r="P26" s="119"/>
      <c r="Q26" s="119"/>
      <c r="R26" s="119"/>
      <c r="S26" s="119"/>
      <c r="T26" s="119"/>
      <c r="U26" s="119"/>
      <c r="V26" s="119"/>
      <c r="W26" s="81" t="s">
        <v>239</v>
      </c>
      <c r="X26" s="81"/>
      <c r="Y26" s="81"/>
      <c r="Z26" s="147">
        <f>AL30</f>
        <v>7.69</v>
      </c>
      <c r="AA26" s="119" t="s">
        <v>237</v>
      </c>
      <c r="AB26" s="511">
        <f>AN30</f>
        <v>7.7</v>
      </c>
      <c r="AC26" s="119" t="s">
        <v>1</v>
      </c>
      <c r="AD26" s="191"/>
      <c r="AE26" s="107"/>
      <c r="AF26" s="107"/>
      <c r="AG26" s="191"/>
      <c r="AH26" s="73" t="s">
        <v>64</v>
      </c>
      <c r="AI26" s="67" t="s">
        <v>13</v>
      </c>
      <c r="AJ26" s="137">
        <f>IF(C19&gt;11,C20+2.5,IF(C19&lt;9,C20+1.5,C20+2))</f>
        <v>14</v>
      </c>
      <c r="AK26" s="67" t="s">
        <v>1</v>
      </c>
      <c r="AL26" s="38"/>
      <c r="AM26" s="38"/>
      <c r="AN26" s="38"/>
      <c r="AO26" s="38"/>
      <c r="AP26" s="38"/>
      <c r="AQ26" s="38"/>
      <c r="AR26" s="191"/>
      <c r="AS26" s="69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73"/>
      <c r="BG26" s="67"/>
      <c r="BH26" s="67"/>
      <c r="BI26" s="67"/>
      <c r="BJ26" s="67"/>
      <c r="BK26" s="67"/>
      <c r="BL26" s="145"/>
      <c r="BM26" s="38"/>
      <c r="BN26" s="73"/>
      <c r="BO26" s="108"/>
      <c r="BP26" s="67"/>
    </row>
    <row r="27" spans="1:68" ht="15" customHeight="1" x14ac:dyDescent="0.2">
      <c r="A27" s="191"/>
      <c r="B27" s="81" t="s">
        <v>248</v>
      </c>
      <c r="C27" s="506">
        <f>AN10</f>
        <v>7.46</v>
      </c>
      <c r="D27" s="119" t="s">
        <v>1</v>
      </c>
      <c r="E27" s="81" t="s">
        <v>244</v>
      </c>
      <c r="F27" s="519">
        <f>AN12</f>
        <v>7.81</v>
      </c>
      <c r="G27" s="512" t="s">
        <v>1</v>
      </c>
      <c r="H27" s="12"/>
      <c r="I27" s="12"/>
      <c r="J27" s="81" t="s">
        <v>250</v>
      </c>
      <c r="K27" s="513">
        <f>C20</f>
        <v>12</v>
      </c>
      <c r="L27" s="514" t="s">
        <v>232</v>
      </c>
      <c r="M27" s="12"/>
      <c r="N27" s="515">
        <f>IF(C19&gt;11,2.5,IF(C19&lt;9,1.5,2))</f>
        <v>2</v>
      </c>
      <c r="O27" s="120" t="s">
        <v>13</v>
      </c>
      <c r="P27" s="516">
        <f>F20</f>
        <v>14</v>
      </c>
      <c r="Q27" s="120" t="s">
        <v>1</v>
      </c>
      <c r="R27" s="81"/>
      <c r="S27" s="81" t="s">
        <v>234</v>
      </c>
      <c r="T27" s="516">
        <f>AJ12</f>
        <v>7.5749999999999993</v>
      </c>
      <c r="U27" s="120" t="s">
        <v>232</v>
      </c>
      <c r="V27" s="516">
        <f>IF(C19&lt;9,R22-0.2,(IF(C19&gt;11,R22+0.2,R22)))</f>
        <v>1</v>
      </c>
      <c r="W27" s="81" t="s">
        <v>13</v>
      </c>
      <c r="X27" s="81"/>
      <c r="Y27" s="81"/>
      <c r="Z27" s="517">
        <f>AJ33</f>
        <v>8.5749999999999993</v>
      </c>
      <c r="AA27" s="119" t="s">
        <v>1</v>
      </c>
      <c r="AB27" s="81"/>
      <c r="AC27" s="81"/>
      <c r="AD27" s="191"/>
      <c r="AE27" s="67"/>
      <c r="AF27" s="67"/>
      <c r="AG27" s="195"/>
      <c r="AH27" s="73" t="s">
        <v>65</v>
      </c>
      <c r="AI27" s="67" t="s">
        <v>13</v>
      </c>
      <c r="AJ27" s="137">
        <f>IF(C19&gt;11,C21-1,IF(C19&lt;9,C21-2,C21-1.5))</f>
        <v>9.1</v>
      </c>
      <c r="AK27" s="67" t="s">
        <v>1</v>
      </c>
      <c r="AL27" s="38"/>
      <c r="AM27" s="38"/>
      <c r="AN27" s="38"/>
      <c r="AO27" s="38"/>
      <c r="AP27" s="38"/>
      <c r="AQ27" s="38"/>
      <c r="AR27" s="191"/>
      <c r="AS27" s="69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73"/>
      <c r="BG27" s="67"/>
      <c r="BH27" s="67"/>
      <c r="BI27" s="67"/>
      <c r="BJ27" s="67"/>
      <c r="BK27" s="67"/>
      <c r="BL27" s="67"/>
      <c r="BM27" s="67"/>
      <c r="BN27" s="73"/>
      <c r="BO27" s="108"/>
      <c r="BP27" s="67"/>
    </row>
    <row r="28" spans="1:68" ht="15" customHeight="1" x14ac:dyDescent="0.2">
      <c r="A28" s="191"/>
      <c r="B28" s="81" t="s">
        <v>249</v>
      </c>
      <c r="C28" s="506">
        <f>AN11</f>
        <v>7.5900000000000007</v>
      </c>
      <c r="D28" s="119" t="s">
        <v>1</v>
      </c>
      <c r="E28" s="81" t="s">
        <v>245</v>
      </c>
      <c r="F28" s="519">
        <f>AN13</f>
        <v>8.0399999999999991</v>
      </c>
      <c r="G28" s="512" t="s">
        <v>1</v>
      </c>
      <c r="H28" s="12"/>
      <c r="I28" s="12"/>
      <c r="J28" s="81" t="s">
        <v>251</v>
      </c>
      <c r="K28" s="513">
        <f>C21</f>
        <v>10.6</v>
      </c>
      <c r="L28" s="514" t="s">
        <v>233</v>
      </c>
      <c r="M28" s="12"/>
      <c r="N28" s="515">
        <f>IF(C19&gt;11,1,IF(C19&lt;9,2,1.5))</f>
        <v>1.5</v>
      </c>
      <c r="O28" s="120" t="s">
        <v>13</v>
      </c>
      <c r="P28" s="518">
        <f>F21</f>
        <v>9.1</v>
      </c>
      <c r="Q28" s="120" t="s">
        <v>1</v>
      </c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91"/>
      <c r="AE28" s="67"/>
      <c r="AF28" s="67"/>
      <c r="AG28" s="195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191"/>
      <c r="AS28" s="69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73"/>
      <c r="BG28" s="67"/>
      <c r="BH28" s="67"/>
      <c r="BI28" s="67"/>
      <c r="BJ28" s="67"/>
      <c r="BK28" s="67"/>
      <c r="BL28" s="67"/>
      <c r="BM28" s="145"/>
      <c r="BN28" s="73"/>
      <c r="BO28" s="93"/>
      <c r="BP28" s="67"/>
    </row>
    <row r="29" spans="1:68" ht="15" customHeight="1" thickBot="1" x14ac:dyDescent="0.25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38"/>
      <c r="AF29" s="38"/>
      <c r="AG29" s="191"/>
      <c r="AH29" s="93" t="s">
        <v>36</v>
      </c>
      <c r="AI29" s="67"/>
      <c r="AJ29" s="67"/>
      <c r="AK29" s="149" t="str">
        <f>IF(AN14&gt;0.3,IF(AN14&gt;0.4,"Steilanpassung  (RS-Linse)","Tendenz steil (RS-Linse)"),IF(AN14&lt;0.0999,"Tendenz flach für RS-Linse",IF(AO23=0,"Parallelanpassung","Gleichlauf")))</f>
        <v>Steilanpassung  (RS-Linse)</v>
      </c>
      <c r="AL29" s="67"/>
      <c r="AM29" s="89" t="s">
        <v>39</v>
      </c>
      <c r="AN29" s="89"/>
      <c r="AO29" s="150">
        <f>IF(AN14&gt;0.3,IF(AN14&gt;0.4,IF(AN14&gt;0.5,-0.15,-0.1),-0.05),IF(AN14&lt;0.099,0.05,0))</f>
        <v>-0.1</v>
      </c>
      <c r="AP29" s="151" t="s">
        <v>1</v>
      </c>
      <c r="AQ29" s="38"/>
      <c r="AR29" s="191"/>
      <c r="AS29" s="69" t="s">
        <v>2</v>
      </c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73"/>
      <c r="BG29" s="67"/>
      <c r="BH29" s="67"/>
      <c r="BI29" s="67"/>
      <c r="BJ29" s="67"/>
      <c r="BK29" s="67"/>
      <c r="BL29" s="67"/>
      <c r="BM29" s="67"/>
      <c r="BN29" s="73"/>
      <c r="BO29" s="93"/>
      <c r="BP29" s="67"/>
    </row>
    <row r="30" spans="1:68" ht="15" customHeight="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38"/>
      <c r="AF30" s="38"/>
      <c r="AG30" s="191"/>
      <c r="AH30" s="152" t="s">
        <v>111</v>
      </c>
      <c r="AI30" s="153" t="s">
        <v>3</v>
      </c>
      <c r="AJ30" s="154">
        <f>IF(AJ20="AZ 0","0",AJ20*10)</f>
        <v>5</v>
      </c>
      <c r="AK30" s="155" t="s">
        <v>45</v>
      </c>
      <c r="AL30" s="156">
        <f>ROUND(AO24,2)+AO29</f>
        <v>7.69</v>
      </c>
      <c r="AM30" s="157" t="s">
        <v>157</v>
      </c>
      <c r="AN30" s="156">
        <f>MROUND(AL30,0.05)</f>
        <v>7.7</v>
      </c>
      <c r="AO30" s="157" t="s">
        <v>51</v>
      </c>
      <c r="AP30" s="156">
        <f>IF(AA18&lt;0,MROUND(-AA18,0.25)*(-1),MROUND(AA18,0.25))</f>
        <v>-2.75</v>
      </c>
      <c r="AQ30" s="158" t="s">
        <v>37</v>
      </c>
      <c r="AR30" s="195"/>
      <c r="AS30" s="69" t="s">
        <v>2</v>
      </c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73"/>
      <c r="BG30" s="67"/>
      <c r="BH30" s="67"/>
      <c r="BI30" s="67"/>
      <c r="BJ30" s="67"/>
      <c r="BK30" s="67"/>
      <c r="BL30" s="67"/>
      <c r="BM30" s="67"/>
      <c r="BN30" s="73"/>
      <c r="BO30" s="93"/>
      <c r="BP30" s="67"/>
    </row>
    <row r="31" spans="1:68" ht="15" customHeight="1" thickBot="1" x14ac:dyDescent="0.25">
      <c r="A31" s="91"/>
      <c r="B31" s="504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38"/>
      <c r="AF31" s="38"/>
      <c r="AG31" s="191"/>
      <c r="AH31" s="159" t="s">
        <v>31</v>
      </c>
      <c r="AI31" s="160" t="s">
        <v>3</v>
      </c>
      <c r="AJ31" s="161">
        <f>IF(AN15&lt;=0.3,0,IF(AJ30&gt;6,6,AJ30+1))</f>
        <v>6</v>
      </c>
      <c r="AK31" s="162" t="s">
        <v>45</v>
      </c>
      <c r="AL31" s="163">
        <f>IF(AN15&gt;=0.3,AN12-((AJ31/10)-AN16)*0.7+AO29,AN12+AO29)</f>
        <v>7.6224999999999996</v>
      </c>
      <c r="AM31" s="164" t="s">
        <v>157</v>
      </c>
      <c r="AN31" s="163">
        <f>MROUND(AL31,0.05)</f>
        <v>7.6000000000000005</v>
      </c>
      <c r="AO31" s="164" t="s">
        <v>51</v>
      </c>
      <c r="AP31" s="163">
        <f>IF(AP42&lt;0,MROUND(-AP42,0.25)*(-1),MROUND(AP42,0.25))</f>
        <v>-3.25</v>
      </c>
      <c r="AQ31" s="165" t="s">
        <v>37</v>
      </c>
      <c r="AR31" s="195"/>
      <c r="AS31" s="69" t="s">
        <v>2</v>
      </c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73"/>
      <c r="BG31" s="67"/>
      <c r="BH31" s="67"/>
      <c r="BI31" s="67"/>
      <c r="BJ31" s="67"/>
      <c r="BK31" s="67"/>
      <c r="BL31" s="67"/>
      <c r="BM31" s="67"/>
      <c r="BN31" s="73"/>
      <c r="BO31" s="93"/>
      <c r="BP31" s="67"/>
    </row>
    <row r="32" spans="1:68" ht="15" customHeight="1" thickBot="1" x14ac:dyDescent="0.25">
      <c r="A32" s="91"/>
      <c r="B32" s="504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38"/>
      <c r="AF32" s="38"/>
      <c r="AG32" s="191"/>
      <c r="AH32" s="69"/>
      <c r="AI32" s="38"/>
      <c r="AJ32" s="38"/>
      <c r="AK32" s="67"/>
      <c r="AL32" s="67"/>
      <c r="AM32" s="38"/>
      <c r="AN32" s="67"/>
      <c r="AO32" s="67"/>
      <c r="AP32" s="100"/>
      <c r="AQ32" s="67"/>
      <c r="AR32" s="195"/>
      <c r="AS32" s="69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73"/>
      <c r="BG32" s="67"/>
      <c r="BH32" s="67"/>
      <c r="BI32" s="67"/>
      <c r="BJ32" s="67"/>
      <c r="BK32" s="67"/>
      <c r="BL32" s="67"/>
      <c r="BM32" s="67"/>
      <c r="BN32" s="67"/>
      <c r="BO32" s="67"/>
      <c r="BP32" s="67"/>
    </row>
    <row r="33" spans="1:68" ht="15" customHeight="1" thickBot="1" x14ac:dyDescent="0.25">
      <c r="A33" s="91"/>
      <c r="B33" s="504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38"/>
      <c r="AF33" s="38"/>
      <c r="AG33" s="191"/>
      <c r="AH33" s="166" t="str">
        <f>IF(AM33="","sph. Weichlinse","tor. Weichlinse")</f>
        <v>tor. Weichlinse</v>
      </c>
      <c r="AI33" s="167" t="s">
        <v>45</v>
      </c>
      <c r="AJ33" s="168">
        <f>IF(C19&lt;9,AJ12+R22-0.2,(IF(C19&gt;11,AJ12+R22+0.2,AJ12+R22)))</f>
        <v>8.5749999999999993</v>
      </c>
      <c r="AK33" s="169" t="s">
        <v>54</v>
      </c>
      <c r="AL33" s="170">
        <f>IF((ABS(AM36)&lt;=0.5),IF(AP35&lt;0,MROUND(-AP35,0.25)*(-1),MROUND(AP35,0.25)),IF(AK36&lt;0,MROUND(-AK36,0.25)*(-1),MROUND(AK36,0.25)))</f>
        <v>-2</v>
      </c>
      <c r="AM33" s="171">
        <f>IF((ABS(AM36)&lt;=0.5),"",IF(AM36&lt;0,MROUND(-AM36,0.25)*(-1),MROUND(AM36,0.25)))</f>
        <v>-3</v>
      </c>
      <c r="AN33" s="172">
        <f>IF(ABS(AM36)&lt;=0.5,"",MROUND(AO36,10))</f>
        <v>0</v>
      </c>
      <c r="AO33" s="173" t="s">
        <v>55</v>
      </c>
      <c r="AP33" s="168">
        <f>IF(C19&lt;9,C20+1.5,(IF(C19&gt;11,C20+2.5,C20+2)))</f>
        <v>14</v>
      </c>
      <c r="AQ33" s="174" t="s">
        <v>1</v>
      </c>
      <c r="AR33" s="191"/>
      <c r="AS33" s="69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73"/>
      <c r="BG33" s="67"/>
      <c r="BH33" s="93"/>
      <c r="BI33" s="67"/>
      <c r="BJ33" s="67"/>
      <c r="BK33" s="67"/>
      <c r="BL33" s="67"/>
      <c r="BM33" s="67"/>
      <c r="BN33" s="67"/>
      <c r="BO33" s="67"/>
      <c r="BP33" s="67"/>
    </row>
    <row r="34" spans="1:68" x14ac:dyDescent="0.2">
      <c r="A34" s="91"/>
      <c r="B34" s="504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38"/>
      <c r="AF34" s="38"/>
      <c r="AG34" s="191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191"/>
      <c r="AS34" s="69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73"/>
      <c r="BG34" s="67"/>
      <c r="BH34" s="67"/>
      <c r="BI34" s="67"/>
      <c r="BJ34" s="67"/>
      <c r="BK34" s="67"/>
      <c r="BL34" s="67"/>
      <c r="BM34" s="67"/>
      <c r="BN34" s="67"/>
      <c r="BO34" s="67"/>
      <c r="BP34" s="67"/>
    </row>
    <row r="35" spans="1:68" ht="16.5" customHeight="1" x14ac:dyDescent="0.2">
      <c r="A35" s="91"/>
      <c r="B35" s="504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38"/>
      <c r="AF35" s="38"/>
      <c r="AG35" s="191"/>
      <c r="AH35" s="175" t="s">
        <v>67</v>
      </c>
      <c r="AI35" s="176"/>
      <c r="AJ35" s="177">
        <f>C7</f>
        <v>0</v>
      </c>
      <c r="AK35" s="176" t="s">
        <v>68</v>
      </c>
      <c r="AL35" s="176"/>
      <c r="AM35" s="176"/>
      <c r="AN35" s="176"/>
      <c r="AO35" s="178" t="s">
        <v>57</v>
      </c>
      <c r="AP35" s="179">
        <f>AK36+(AM36/2)</f>
        <v>-3.5</v>
      </c>
      <c r="AQ35" s="176" t="s">
        <v>37</v>
      </c>
      <c r="AR35" s="191"/>
      <c r="AS35" s="69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73"/>
      <c r="BG35" s="67"/>
      <c r="BH35" s="93"/>
      <c r="BI35" s="67"/>
      <c r="BJ35" s="180"/>
      <c r="BK35" s="181"/>
      <c r="BL35" s="67"/>
      <c r="BM35" s="89"/>
      <c r="BN35" s="67"/>
      <c r="BO35" s="67"/>
      <c r="BP35" s="67"/>
    </row>
    <row r="36" spans="1:68" ht="15" customHeight="1" x14ac:dyDescent="0.2">
      <c r="A36" s="91"/>
      <c r="B36" s="504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38"/>
      <c r="AF36" s="38"/>
      <c r="AG36" s="191"/>
      <c r="AH36" s="175" t="s">
        <v>113</v>
      </c>
      <c r="AI36" s="176"/>
      <c r="AJ36" s="178" t="s">
        <v>61</v>
      </c>
      <c r="AK36" s="179">
        <f>F4</f>
        <v>-2</v>
      </c>
      <c r="AL36" s="151" t="s">
        <v>60</v>
      </c>
      <c r="AM36" s="175">
        <f>F5</f>
        <v>-3</v>
      </c>
      <c r="AN36" s="176" t="s">
        <v>49</v>
      </c>
      <c r="AO36" s="149">
        <f>F6</f>
        <v>0</v>
      </c>
      <c r="AP36" s="151" t="s">
        <v>4</v>
      </c>
      <c r="AQ36" s="67"/>
      <c r="AR36" s="195"/>
      <c r="AS36" s="69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73"/>
      <c r="BG36" s="67"/>
      <c r="BH36" s="93"/>
      <c r="BI36" s="67"/>
      <c r="BJ36" s="89"/>
      <c r="BK36" s="67"/>
      <c r="BL36" s="67"/>
      <c r="BM36" s="67"/>
      <c r="BN36" s="67"/>
      <c r="BO36" s="67"/>
      <c r="BP36" s="67"/>
    </row>
    <row r="37" spans="1:68" ht="13.5" customHeight="1" x14ac:dyDescent="0.2">
      <c r="A37" s="91"/>
      <c r="B37" s="504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38"/>
      <c r="AF37" s="38"/>
      <c r="AG37" s="191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191"/>
      <c r="AS37" s="69"/>
      <c r="AT37" s="38" t="s">
        <v>2</v>
      </c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73"/>
      <c r="BG37" s="67"/>
      <c r="BH37" s="67"/>
      <c r="BI37" s="67"/>
      <c r="BJ37" s="89"/>
      <c r="BK37" s="67"/>
      <c r="BL37" s="67"/>
      <c r="BM37" s="67"/>
      <c r="BN37" s="67"/>
      <c r="BO37" s="67"/>
      <c r="BP37" s="67"/>
    </row>
    <row r="38" spans="1:68" x14ac:dyDescent="0.2">
      <c r="A38" s="91"/>
      <c r="B38" s="504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38"/>
      <c r="AF38" s="38"/>
      <c r="AG38" s="191"/>
      <c r="AH38" s="175" t="s">
        <v>112</v>
      </c>
      <c r="AI38" s="151"/>
      <c r="AJ38" s="182" t="s">
        <v>3</v>
      </c>
      <c r="AK38" s="183">
        <f>AJ30</f>
        <v>5</v>
      </c>
      <c r="AL38" s="184" t="s">
        <v>34</v>
      </c>
      <c r="AM38" s="185">
        <f>AN30</f>
        <v>7.7</v>
      </c>
      <c r="AN38" s="151" t="s">
        <v>1</v>
      </c>
      <c r="AO38" s="182" t="s">
        <v>48</v>
      </c>
      <c r="AP38" s="179">
        <f>AJ39+(AM39/2)</f>
        <v>-2.8749999999999978</v>
      </c>
      <c r="AQ38" s="176" t="s">
        <v>37</v>
      </c>
      <c r="AR38" s="191"/>
      <c r="AS38" s="69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73"/>
      <c r="BG38" s="67"/>
      <c r="BH38" s="93"/>
      <c r="BI38" s="67"/>
      <c r="BJ38" s="89"/>
      <c r="BK38" s="67"/>
      <c r="BL38" s="67"/>
      <c r="BM38" s="89"/>
      <c r="BN38" s="67"/>
      <c r="BO38" s="67"/>
      <c r="BP38" s="67"/>
    </row>
    <row r="39" spans="1:68" ht="12" customHeight="1" x14ac:dyDescent="0.2">
      <c r="A39" s="38"/>
      <c r="B39" s="69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191"/>
      <c r="AH39" s="175" t="s">
        <v>43</v>
      </c>
      <c r="AI39" s="176" t="s">
        <v>50</v>
      </c>
      <c r="AJ39" s="175">
        <f>IF(AA15&gt;AB15,AA15,AB15)</f>
        <v>-2.5499999999999972</v>
      </c>
      <c r="AK39" s="176" t="s">
        <v>37</v>
      </c>
      <c r="AL39" s="176" t="s">
        <v>42</v>
      </c>
      <c r="AM39" s="175">
        <f>IF(AA15&gt;AB15,AB15-AA15,IF(AA15&lt;AB15,AA15-AB15,0))</f>
        <v>-0.65000000000000124</v>
      </c>
      <c r="AN39" s="176" t="s">
        <v>37</v>
      </c>
      <c r="AO39" s="178" t="s">
        <v>56</v>
      </c>
      <c r="AP39" s="186">
        <f>IF(AA15&gt;AB15,F6,IF(AA15&lt;AB15,J6,""))</f>
        <v>0</v>
      </c>
      <c r="AQ39" s="176" t="s">
        <v>4</v>
      </c>
      <c r="AR39" s="195"/>
      <c r="AS39" s="69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73"/>
      <c r="BG39" s="67"/>
      <c r="BH39" s="67"/>
      <c r="BI39" s="67"/>
      <c r="BJ39" s="89"/>
      <c r="BK39" s="67"/>
      <c r="BL39" s="67"/>
      <c r="BM39" s="67"/>
      <c r="BN39" s="67"/>
      <c r="BO39" s="67"/>
      <c r="BP39" s="67"/>
    </row>
    <row r="40" spans="1:68" x14ac:dyDescent="0.2">
      <c r="A40" s="38"/>
      <c r="B40" s="69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191"/>
      <c r="AH40" s="175" t="s">
        <v>58</v>
      </c>
      <c r="AI40" s="176" t="s">
        <v>50</v>
      </c>
      <c r="AJ40" s="175">
        <f>IF(AJ39&lt;0,(MROUND(-AJ39,0.25))*-1,MROUND(AJ39,0.25))</f>
        <v>-2.5</v>
      </c>
      <c r="AK40" s="176" t="s">
        <v>37</v>
      </c>
      <c r="AL40" s="176" t="s">
        <v>42</v>
      </c>
      <c r="AM40" s="175">
        <f>IF(AM39&lt;0,(MROUND(-AM39,0.25))*-1,MROUND(AM39,0.25))</f>
        <v>-0.75</v>
      </c>
      <c r="AN40" s="176" t="s">
        <v>37</v>
      </c>
      <c r="AO40" s="178" t="s">
        <v>56</v>
      </c>
      <c r="AP40" s="186">
        <f>AP39</f>
        <v>0</v>
      </c>
      <c r="AQ40" s="176" t="s">
        <v>4</v>
      </c>
      <c r="AR40" s="195"/>
      <c r="AS40" s="69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73"/>
      <c r="BG40" s="67"/>
      <c r="BH40" s="93"/>
      <c r="BI40" s="67"/>
      <c r="BJ40" s="180"/>
      <c r="BK40" s="67"/>
      <c r="BL40" s="67"/>
      <c r="BM40" s="67"/>
      <c r="BN40" s="67"/>
      <c r="BO40" s="67"/>
      <c r="BP40" s="67"/>
    </row>
    <row r="41" spans="1:68" x14ac:dyDescent="0.2">
      <c r="A41" s="38"/>
      <c r="B41" s="69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191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191"/>
      <c r="AS41" s="69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73"/>
      <c r="BG41" s="67"/>
      <c r="BH41" s="93"/>
      <c r="BI41" s="67"/>
      <c r="BJ41" s="89"/>
      <c r="BK41" s="67"/>
      <c r="BL41" s="67"/>
      <c r="BM41" s="67"/>
      <c r="BN41" s="108"/>
      <c r="BO41" s="148"/>
      <c r="BP41" s="67"/>
    </row>
    <row r="42" spans="1:68" x14ac:dyDescent="0.2">
      <c r="A42" s="38"/>
      <c r="B42" s="69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191"/>
      <c r="AH42" s="175" t="s">
        <v>114</v>
      </c>
      <c r="AI42" s="151"/>
      <c r="AJ42" s="182" t="s">
        <v>115</v>
      </c>
      <c r="AK42" s="183">
        <f>AJ31</f>
        <v>6</v>
      </c>
      <c r="AL42" s="184" t="s">
        <v>34</v>
      </c>
      <c r="AM42" s="185">
        <f>AN31</f>
        <v>7.6000000000000005</v>
      </c>
      <c r="AN42" s="151" t="s">
        <v>1</v>
      </c>
      <c r="AO42" s="182" t="s">
        <v>48</v>
      </c>
      <c r="AP42" s="179">
        <f>AP38-((AM38-AM42)*5)</f>
        <v>-3.374999999999996</v>
      </c>
      <c r="AQ42" s="176" t="s">
        <v>37</v>
      </c>
      <c r="AR42" s="200"/>
      <c r="AS42" s="69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73"/>
      <c r="BG42" s="67"/>
      <c r="BH42" s="67"/>
      <c r="BI42" s="67"/>
      <c r="BJ42" s="89"/>
      <c r="BK42" s="67"/>
      <c r="BL42" s="67"/>
      <c r="BM42" s="67"/>
      <c r="BN42" s="73"/>
      <c r="BO42" s="67"/>
      <c r="BP42" s="67"/>
    </row>
    <row r="43" spans="1:68" ht="15" x14ac:dyDescent="0.2">
      <c r="A43" s="38"/>
      <c r="B43" s="69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191"/>
      <c r="AH43" s="151" t="s">
        <v>59</v>
      </c>
      <c r="AI43" s="151" t="s">
        <v>13</v>
      </c>
      <c r="AJ43" s="187">
        <f>ABS((AJ10+AJ11)/2-(AN10+AN11)/2)</f>
        <v>0.51499999999999879</v>
      </c>
      <c r="AK43" s="150" t="s">
        <v>1</v>
      </c>
      <c r="AL43" s="187"/>
      <c r="AM43" s="188" t="s">
        <v>52</v>
      </c>
      <c r="AN43" s="189"/>
      <c r="AO43" s="185" t="str">
        <f>IF(ABS(C13-C14)&gt;=0.15,IF((C13-C14)&gt;0,"temporal","nasal"),IF(ABS(C13-C14)&gt;=0.15," ","relativ zentral"))</f>
        <v>temporal</v>
      </c>
      <c r="AP43" s="187" t="str">
        <f>IF(ABS(C15-C16)&gt;=0.15,IF((C15-C16)&gt;0," superior"," inferior")," ")</f>
        <v xml:space="preserve"> </v>
      </c>
      <c r="AQ43" s="151"/>
      <c r="AR43" s="191"/>
      <c r="AS43" s="69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73"/>
      <c r="BG43" s="67"/>
      <c r="BH43" s="93"/>
      <c r="BI43" s="67"/>
      <c r="BJ43" s="89"/>
      <c r="BK43" s="67"/>
      <c r="BL43" s="67"/>
      <c r="BM43" s="67"/>
      <c r="BN43" s="73"/>
      <c r="BO43" s="67"/>
      <c r="BP43" s="67"/>
    </row>
    <row r="44" spans="1:68" ht="9" customHeight="1" x14ac:dyDescent="0.2">
      <c r="A44" s="38"/>
      <c r="B44" s="69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191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7"/>
      <c r="AS44" s="69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73"/>
      <c r="BG44" s="67"/>
      <c r="BH44" s="67"/>
      <c r="BI44" s="67"/>
      <c r="BJ44" s="89"/>
      <c r="BK44" s="67"/>
      <c r="BL44" s="67"/>
      <c r="BM44" s="67"/>
      <c r="BN44" s="73"/>
      <c r="BO44" s="67"/>
      <c r="BP44" s="67"/>
    </row>
    <row r="45" spans="1:68" x14ac:dyDescent="0.2">
      <c r="A45" s="38"/>
      <c r="B45" s="69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69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73"/>
      <c r="BG45" s="67"/>
      <c r="BH45" s="93"/>
      <c r="BI45" s="67"/>
      <c r="BJ45" s="89"/>
      <c r="BK45" s="67"/>
      <c r="BL45" s="100"/>
      <c r="BM45" s="89"/>
      <c r="BN45" s="73"/>
      <c r="BO45" s="93"/>
      <c r="BP45" s="67"/>
    </row>
    <row r="46" spans="1:68" x14ac:dyDescent="0.2">
      <c r="A46" s="38"/>
      <c r="B46" s="69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69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73"/>
      <c r="BG46" s="67"/>
      <c r="BH46" s="67"/>
      <c r="BI46" s="67"/>
      <c r="BJ46" s="67"/>
      <c r="BK46" s="67"/>
      <c r="BL46" s="100"/>
      <c r="BM46" s="89"/>
      <c r="BN46" s="73"/>
      <c r="BO46" s="93"/>
      <c r="BP46" s="67"/>
    </row>
    <row r="47" spans="1:68" ht="14.25" customHeight="1" x14ac:dyDescent="0.2">
      <c r="A47" s="38"/>
      <c r="B47" s="6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69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73"/>
      <c r="BG47" s="67"/>
      <c r="BH47" s="67"/>
      <c r="BI47" s="67"/>
      <c r="BJ47" s="67"/>
      <c r="BK47" s="67"/>
      <c r="BL47" s="67"/>
      <c r="BM47" s="67"/>
      <c r="BN47" s="67"/>
      <c r="BO47" s="67"/>
      <c r="BP47" s="67"/>
    </row>
    <row r="48" spans="1:68" x14ac:dyDescent="0.2">
      <c r="A48" s="38"/>
      <c r="B48" s="69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69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73"/>
      <c r="BG48" s="67"/>
      <c r="BH48" s="67"/>
      <c r="BI48" s="67"/>
      <c r="BJ48" s="67"/>
      <c r="BK48" s="93"/>
      <c r="BL48" s="67"/>
      <c r="BM48" s="67"/>
      <c r="BN48" s="67"/>
      <c r="BO48" s="67"/>
      <c r="BP48" s="67"/>
    </row>
    <row r="49" spans="1:68" x14ac:dyDescent="0.2">
      <c r="A49" s="38"/>
      <c r="B49" s="69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69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73"/>
      <c r="BG49" s="67"/>
      <c r="BH49" s="67"/>
      <c r="BI49" s="67"/>
      <c r="BJ49" s="67"/>
      <c r="BK49" s="67"/>
      <c r="BL49" s="67"/>
      <c r="BM49" s="67"/>
      <c r="BN49" s="67"/>
      <c r="BO49" s="67"/>
      <c r="BP49" s="67"/>
    </row>
    <row r="50" spans="1:68" x14ac:dyDescent="0.2">
      <c r="A50" s="38"/>
      <c r="B50" s="6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69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73"/>
      <c r="BG50" s="67"/>
      <c r="BH50" s="67"/>
      <c r="BI50" s="67"/>
      <c r="BJ50" s="67"/>
      <c r="BK50" s="38"/>
      <c r="BL50" s="38"/>
      <c r="BM50" s="108"/>
      <c r="BN50" s="93"/>
      <c r="BO50" s="38"/>
      <c r="BP50" s="38"/>
    </row>
    <row r="51" spans="1:68" x14ac:dyDescent="0.2">
      <c r="A51" s="38"/>
      <c r="B51" s="69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69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73"/>
      <c r="BG51" s="67"/>
      <c r="BH51" s="67"/>
      <c r="BI51" s="67"/>
      <c r="BJ51" s="67"/>
      <c r="BK51" s="67"/>
      <c r="BL51" s="67"/>
      <c r="BM51" s="67"/>
      <c r="BN51" s="67"/>
      <c r="BO51" s="67"/>
      <c r="BP51" s="67"/>
    </row>
    <row r="52" spans="1:68" x14ac:dyDescent="0.2">
      <c r="A52" s="38"/>
      <c r="B52" s="69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69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73"/>
      <c r="BG52" s="67"/>
      <c r="BH52" s="67"/>
      <c r="BI52" s="67"/>
      <c r="BJ52" s="67"/>
      <c r="BK52" s="67"/>
      <c r="BL52" s="67"/>
      <c r="BM52" s="67"/>
      <c r="BN52" s="38"/>
      <c r="BO52" s="67"/>
      <c r="BP52" s="67"/>
    </row>
    <row r="53" spans="1:68" x14ac:dyDescent="0.2">
      <c r="A53" s="38"/>
      <c r="B53" s="69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69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7"/>
      <c r="BG53" s="38"/>
      <c r="BH53" s="67"/>
      <c r="BI53" s="67"/>
      <c r="BJ53" s="67"/>
      <c r="BK53" s="67"/>
      <c r="BL53" s="67"/>
      <c r="BM53" s="67"/>
      <c r="BN53" s="67"/>
      <c r="BO53" s="67"/>
      <c r="BP53" s="67"/>
    </row>
    <row r="54" spans="1:68" x14ac:dyDescent="0.2">
      <c r="A54" s="38"/>
      <c r="B54" s="69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69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7"/>
      <c r="BG54" s="38"/>
      <c r="BH54" s="67"/>
      <c r="BI54" s="67"/>
      <c r="BJ54" s="67"/>
      <c r="BK54" s="67"/>
      <c r="BL54" s="67"/>
      <c r="BM54" s="67"/>
      <c r="BN54" s="67"/>
      <c r="BO54" s="67"/>
      <c r="BP54" s="67"/>
    </row>
    <row r="55" spans="1:68" x14ac:dyDescent="0.2">
      <c r="A55" s="38"/>
      <c r="B55" s="69" t="s">
        <v>2</v>
      </c>
      <c r="C55" s="38"/>
      <c r="D55" s="38"/>
      <c r="E55" s="67"/>
      <c r="F55" s="67"/>
      <c r="G55" s="67"/>
      <c r="H55" s="67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69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7"/>
      <c r="BG55" s="38"/>
      <c r="BH55" s="38"/>
      <c r="BI55" s="38"/>
      <c r="BJ55" s="38"/>
      <c r="BK55" s="38"/>
      <c r="BL55" s="38"/>
      <c r="BM55" s="38"/>
      <c r="BN55" s="38"/>
      <c r="BO55" s="190"/>
      <c r="BP55" s="67"/>
    </row>
    <row r="56" spans="1:68" x14ac:dyDescent="0.2">
      <c r="A56" s="38"/>
      <c r="B56" s="69"/>
      <c r="C56" s="38"/>
      <c r="D56" s="38"/>
      <c r="E56" s="67" t="s">
        <v>2</v>
      </c>
      <c r="F56" s="67"/>
      <c r="G56" s="67"/>
      <c r="H56" s="67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69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</row>
    <row r="57" spans="1:68" x14ac:dyDescent="0.2">
      <c r="A57" s="38"/>
      <c r="B57" s="69"/>
      <c r="C57" s="38"/>
      <c r="D57" s="38"/>
      <c r="E57" s="38" t="s">
        <v>2</v>
      </c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69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</row>
    <row r="58" spans="1:68" x14ac:dyDescent="0.2">
      <c r="A58" s="38"/>
      <c r="B58" s="69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69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</row>
    <row r="59" spans="1:68" x14ac:dyDescent="0.2">
      <c r="A59" s="38"/>
      <c r="B59" s="69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69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</row>
    <row r="60" spans="1:68" x14ac:dyDescent="0.2">
      <c r="A60" s="38"/>
      <c r="B60" s="69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69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</row>
    <row r="61" spans="1:68" x14ac:dyDescent="0.2">
      <c r="A61" s="38"/>
      <c r="B61" s="69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69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</row>
    <row r="62" spans="1:68" x14ac:dyDescent="0.2">
      <c r="A62" s="38"/>
      <c r="B62" s="69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69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</row>
    <row r="63" spans="1:68" x14ac:dyDescent="0.2">
      <c r="A63" s="38"/>
      <c r="B63" s="69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69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</row>
    <row r="64" spans="1:68" x14ac:dyDescent="0.2">
      <c r="A64" s="38"/>
      <c r="B64" s="69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69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</row>
    <row r="65" spans="1:68" x14ac:dyDescent="0.2">
      <c r="A65" s="38"/>
      <c r="B65" s="69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69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</row>
    <row r="66" spans="1:68" x14ac:dyDescent="0.2">
      <c r="A66" s="38"/>
      <c r="B66" s="69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69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</row>
    <row r="67" spans="1:68" x14ac:dyDescent="0.2">
      <c r="A67" s="38"/>
      <c r="B67" s="69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69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</row>
    <row r="68" spans="1:68" x14ac:dyDescent="0.2">
      <c r="A68" s="38"/>
      <c r="B68" s="69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69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</row>
    <row r="69" spans="1:68" x14ac:dyDescent="0.2">
      <c r="A69" s="38"/>
      <c r="B69" s="69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69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</row>
    <row r="70" spans="1:68" x14ac:dyDescent="0.2">
      <c r="A70" s="38"/>
      <c r="B70" s="69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69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</row>
    <row r="71" spans="1:68" x14ac:dyDescent="0.2">
      <c r="A71" s="38"/>
      <c r="B71" s="69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69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</row>
    <row r="72" spans="1:68" x14ac:dyDescent="0.2">
      <c r="A72" s="38"/>
      <c r="B72" s="69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69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</row>
    <row r="73" spans="1:68" x14ac:dyDescent="0.2">
      <c r="A73" s="38"/>
      <c r="B73" s="69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69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</row>
    <row r="74" spans="1:68" x14ac:dyDescent="0.2">
      <c r="A74" s="38"/>
      <c r="B74" s="69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69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</row>
    <row r="75" spans="1:68" x14ac:dyDescent="0.2">
      <c r="A75" s="38"/>
      <c r="B75" s="69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69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</row>
    <row r="76" spans="1:68" x14ac:dyDescent="0.2">
      <c r="A76" s="38"/>
      <c r="B76" s="6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69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</row>
    <row r="77" spans="1:68" x14ac:dyDescent="0.2">
      <c r="A77" s="38"/>
      <c r="B77" s="69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69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</row>
    <row r="78" spans="1:68" x14ac:dyDescent="0.2">
      <c r="A78" s="38"/>
      <c r="B78" s="69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69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</row>
    <row r="79" spans="1:68" x14ac:dyDescent="0.2">
      <c r="A79" s="38"/>
      <c r="B79" s="69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69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</row>
    <row r="80" spans="1:68" x14ac:dyDescent="0.2">
      <c r="A80" s="38"/>
      <c r="B80" s="69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69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</row>
    <row r="81" spans="1:68" x14ac:dyDescent="0.2">
      <c r="A81" s="38"/>
      <c r="B81" s="69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69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</row>
    <row r="82" spans="1:68" x14ac:dyDescent="0.2">
      <c r="A82" s="38"/>
      <c r="B82" s="69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69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</row>
    <row r="83" spans="1:68" x14ac:dyDescent="0.2">
      <c r="A83" s="38"/>
      <c r="B83" s="6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69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</row>
    <row r="84" spans="1:68" x14ac:dyDescent="0.2">
      <c r="A84" s="38"/>
      <c r="B84" s="69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69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</row>
    <row r="85" spans="1:68" x14ac:dyDescent="0.2">
      <c r="A85" s="38"/>
      <c r="B85" s="69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69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</row>
    <row r="86" spans="1:68" x14ac:dyDescent="0.2">
      <c r="A86" s="38"/>
      <c r="B86" s="6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69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</row>
    <row r="87" spans="1:68" x14ac:dyDescent="0.2">
      <c r="A87" s="38"/>
      <c r="B87" s="69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69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</row>
    <row r="88" spans="1:68" x14ac:dyDescent="0.2">
      <c r="A88" s="38"/>
      <c r="B88" s="6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69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</row>
    <row r="89" spans="1:68" x14ac:dyDescent="0.2">
      <c r="A89" s="38"/>
      <c r="B89" s="69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69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</row>
    <row r="90" spans="1:68" x14ac:dyDescent="0.2">
      <c r="A90" s="38"/>
      <c r="B90" s="69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69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</row>
    <row r="91" spans="1:68" x14ac:dyDescent="0.2">
      <c r="A91" s="38"/>
      <c r="B91" s="6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69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</row>
    <row r="92" spans="1:68" x14ac:dyDescent="0.2">
      <c r="A92" s="38"/>
      <c r="B92" s="69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69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</row>
    <row r="93" spans="1:68" x14ac:dyDescent="0.2">
      <c r="A93" s="38"/>
      <c r="B93" s="6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69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</row>
    <row r="94" spans="1:68" x14ac:dyDescent="0.2">
      <c r="A94" s="38"/>
      <c r="B94" s="69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69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</row>
    <row r="95" spans="1:68" x14ac:dyDescent="0.2">
      <c r="A95" s="38"/>
      <c r="B95" s="69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69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</row>
    <row r="96" spans="1:68" x14ac:dyDescent="0.2">
      <c r="A96" s="38"/>
      <c r="B96" s="69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69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</row>
    <row r="97" spans="1:68" x14ac:dyDescent="0.2">
      <c r="A97" s="38"/>
      <c r="B97" s="69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69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</row>
    <row r="98" spans="1:68" x14ac:dyDescent="0.2">
      <c r="A98" s="38"/>
      <c r="B98" s="69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69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</row>
    <row r="99" spans="1:68" x14ac:dyDescent="0.2">
      <c r="A99" s="38"/>
      <c r="B99" s="69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69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</row>
    <row r="100" spans="1:68" x14ac:dyDescent="0.2">
      <c r="A100" s="38"/>
      <c r="B100" s="69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69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</row>
    <row r="101" spans="1:68" x14ac:dyDescent="0.2">
      <c r="A101" s="38"/>
      <c r="B101" s="69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69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</row>
    <row r="102" spans="1:68" x14ac:dyDescent="0.2">
      <c r="A102" s="38"/>
      <c r="B102" s="6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69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</row>
    <row r="103" spans="1:68" x14ac:dyDescent="0.2">
      <c r="A103" s="38"/>
      <c r="B103" s="69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69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</row>
    <row r="104" spans="1:68" x14ac:dyDescent="0.2">
      <c r="A104" s="38"/>
      <c r="B104" s="69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69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</row>
    <row r="105" spans="1:68" x14ac:dyDescent="0.2">
      <c r="A105" s="38"/>
      <c r="B105" s="69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69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</row>
    <row r="106" spans="1:68" x14ac:dyDescent="0.2">
      <c r="A106" s="38"/>
      <c r="B106" s="69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69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</row>
    <row r="107" spans="1:68" x14ac:dyDescent="0.2">
      <c r="A107" s="38"/>
      <c r="B107" s="69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69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</row>
    <row r="108" spans="1:68" x14ac:dyDescent="0.2">
      <c r="A108" s="38"/>
      <c r="B108" s="69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69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</row>
    <row r="109" spans="1:68" x14ac:dyDescent="0.2">
      <c r="A109" s="38"/>
      <c r="B109" s="69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69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</row>
    <row r="110" spans="1:68" x14ac:dyDescent="0.2">
      <c r="A110" s="38"/>
      <c r="B110" s="69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69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</row>
  </sheetData>
  <sheetProtection algorithmName="SHA-512" hashValue="7Abq1FiBESOsONxzbhgsLURP9SlSHaobXE7eX/H2MOgYGy8dAxdhDNq9wGvHsvjOOzEHJ+QkH8lXLucOvgJMhg==" saltValue="fOj2LbjvZzw7G9hcTjL41g==" spinCount="100000" sheet="1" selectLockedCells="1"/>
  <customSheetViews>
    <customSheetView guid="{B1D94C4E-3F70-49FE-A1EC-47C95B05E6DE}" scale="90" showGridLines="0">
      <selection activeCell="E45" activeCellId="3" sqref="E3:E5 J4:J5 E7:E14 E45"/>
      <pageMargins left="0.70866141732283472" right="0.70866141732283472" top="0.59" bottom="0.55000000000000004" header="0.31496062992125984" footer="0.31496062992125984"/>
      <pageSetup paperSize="9" scale="115" orientation="portrait" r:id="rId1"/>
    </customSheetView>
  </customSheetViews>
  <dataValidations count="11">
    <dataValidation type="decimal" allowBlank="1" showInputMessage="1" showErrorMessage="1" error="Minus-Zylinder eingeben_x000a_zwischen 0 und -10,00 dpt." sqref="C5" xr:uid="{00000000-0002-0000-0000-000000000000}">
      <formula1>-10</formula1>
      <formula2>0</formula2>
    </dataValidation>
    <dataValidation type="decimal" errorStyle="warning" allowBlank="1" showInputMessage="1" showErrorMessage="1" errorTitle="ungültig !!" sqref="C4" xr:uid="{00000000-0002-0000-0000-000001000000}">
      <formula1>-35</formula1>
      <formula2>35</formula2>
    </dataValidation>
    <dataValidation type="whole" allowBlank="1" showInputMessage="1" showErrorMessage="1" error="Achsen zwischen 0° und 180° eingeben._x000a_" sqref="C6" xr:uid="{00000000-0002-0000-0000-000002000000}">
      <formula1>0</formula1>
      <formula2>180</formula2>
    </dataValidation>
    <dataValidation type="whole" allowBlank="1" showInputMessage="1" showErrorMessage="1" error="HSA zwischen 0 und 25 mm eingeben. " sqref="C7" xr:uid="{00000000-0002-0000-0000-000003000000}">
      <formula1>0</formula1>
      <formula2>25</formula2>
    </dataValidation>
    <dataValidation type="decimal" allowBlank="1" showInputMessage="1" showErrorMessage="1" error="Zentralradien zwischen 4 und 12 mm einegeben." sqref="C9 C11" xr:uid="{00000000-0002-0000-0000-000004000000}">
      <formula1>4</formula1>
      <formula2>12</formula2>
    </dataValidation>
    <dataValidation type="whole" allowBlank="1" showInputMessage="1" showErrorMessage="1" error="Messwinkel-Eingabe von 30°, 25° oder 20° erlaubt." prompt="Messwinkel 30°, 25° oder 20° eingeben." sqref="C12" xr:uid="{00000000-0002-0000-0000-000005000000}">
      <formula1>20</formula1>
      <formula2>30</formula2>
    </dataValidation>
    <dataValidation type="decimal" allowBlank="1" showInputMessage="1" showErrorMessage="1" error="Sagittalradien zwischen 5 und 12 mm erlaubt." sqref="C13:C16" xr:uid="{00000000-0002-0000-0000-000006000000}">
      <formula1>5</formula1>
      <formula2>12</formula2>
    </dataValidation>
    <dataValidation type="decimal" allowBlank="1" showInputMessage="1" showErrorMessage="1" error="Eingabe zwischen 5,0 und 14,0 mm erlaubt." sqref="C19" xr:uid="{00000000-0002-0000-0000-000007000000}">
      <formula1>5</formula1>
      <formula2>14</formula2>
    </dataValidation>
    <dataValidation type="whole" allowBlank="1" showInputMessage="1" showErrorMessage="1" error="Horizontale Achseingabe zwischen 0° und 45° oder zwischen 135° und 180° eingeben." prompt="Achse des horizontalen Zentralradius eingeben._x000a_D.h. zwischen 0° und 45° oder 135° bis 180°." sqref="C10" xr:uid="{00000000-0002-0000-0000-000008000000}">
      <formula1>0</formula1>
      <formula2>180</formula2>
    </dataValidation>
    <dataValidation type="decimal" allowBlank="1" showInputMessage="1" showErrorMessage="1" error="Eingabe zwischen 8,0 und 14,0 mm erlaubt." sqref="C20:C21" xr:uid="{00000000-0002-0000-0000-000009000000}">
      <formula1>8</formula1>
      <formula2>14</formula2>
    </dataValidation>
    <dataValidation type="whole" allowBlank="1" showInputMessage="1" showErrorMessage="1" error="Zugelassen ist nur 1,2 oder 3" sqref="C22" xr:uid="{00000000-0002-0000-0000-00000A000000}">
      <formula1>1</formula1>
      <formula2>3</formula2>
    </dataValidation>
  </dataValidations>
  <hyperlinks>
    <hyperlink ref="D2:V2" r:id="rId2" display="Download neuste Version" xr:uid="{00000000-0004-0000-0000-000000000000}"/>
    <hyperlink ref="C2:E2" r:id="rId3" display="Download neuste Version" xr:uid="{00000000-0004-0000-0000-000001000000}"/>
    <hyperlink ref="AH1:AJ1" location="'SRM-Auswertung'!A1" display="Messlinsenberechnung" xr:uid="{8A44CD4B-6840-4784-9033-DAC02A5ADD80}"/>
  </hyperlinks>
  <pageMargins left="0.70866141732283472" right="0.70866141732283472" top="0.59" bottom="0.55000000000000004" header="0.31496062992125984" footer="0.31496062992125984"/>
  <pageSetup paperSize="9" scale="115" orientation="portrait" r:id="rId4"/>
  <ignoredErrors>
    <ignoredError sqref="AJ13" formulaRange="1"/>
  </ignoredErrors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W110"/>
  <sheetViews>
    <sheetView showGridLines="0" showRowColHeaders="0" zoomScaleNormal="100" workbookViewId="0">
      <selection activeCell="C4" sqref="C4"/>
    </sheetView>
  </sheetViews>
  <sheetFormatPr baseColWidth="10" defaultColWidth="11.42578125" defaultRowHeight="12.75" x14ac:dyDescent="0.2"/>
  <cols>
    <col min="1" max="1" width="1.7109375" style="60" customWidth="1"/>
    <col min="2" max="2" width="14.5703125" style="59" customWidth="1"/>
    <col min="3" max="3" width="6.85546875" style="60" customWidth="1"/>
    <col min="4" max="4" width="4.42578125" style="60" customWidth="1"/>
    <col min="5" max="5" width="5.140625" style="60" customWidth="1"/>
    <col min="6" max="6" width="0.28515625" style="60" customWidth="1"/>
    <col min="7" max="7" width="6.28515625" style="60" customWidth="1"/>
    <col min="8" max="8" width="6.7109375" style="60" customWidth="1"/>
    <col min="9" max="9" width="6.5703125" style="60" customWidth="1"/>
    <col min="10" max="10" width="6" style="60" customWidth="1"/>
    <col min="11" max="11" width="1.85546875" style="60" customWidth="1"/>
    <col min="12" max="12" width="6.28515625" style="60" customWidth="1"/>
    <col min="13" max="14" width="2.42578125" style="60" customWidth="1"/>
    <col min="15" max="15" width="7" style="60" customWidth="1"/>
    <col min="16" max="16" width="1.85546875" style="60" customWidth="1"/>
    <col min="17" max="17" width="5.28515625" style="60" customWidth="1"/>
    <col min="18" max="18" width="7.5703125" style="60" customWidth="1"/>
    <col min="19" max="19" width="8.140625" style="60" customWidth="1"/>
    <col min="20" max="20" width="2.140625" style="60" customWidth="1"/>
    <col min="21" max="21" width="7" style="60" customWidth="1"/>
    <col min="22" max="22" width="2.5703125" style="60" customWidth="1"/>
    <col min="23" max="23" width="6.5703125" style="60" customWidth="1"/>
    <col min="24" max="24" width="8.140625" style="60" customWidth="1"/>
    <col min="25" max="25" width="6.42578125" style="60" customWidth="1"/>
    <col min="26" max="26" width="7.28515625" style="60" customWidth="1"/>
    <col min="27" max="27" width="2.28515625" style="60" customWidth="1"/>
    <col min="28" max="28" width="1.42578125" style="60" customWidth="1"/>
    <col min="29" max="29" width="9.42578125" style="60" customWidth="1"/>
    <col min="30" max="30" width="2.7109375" style="60" customWidth="1"/>
    <col min="31" max="31" width="43.28515625" style="60" customWidth="1"/>
    <col min="32" max="32" width="8.5703125" style="60" customWidth="1"/>
    <col min="33" max="33" width="7.42578125" style="60" customWidth="1"/>
    <col min="34" max="34" width="2.42578125" style="60" customWidth="1"/>
    <col min="35" max="35" width="10.140625" style="60" customWidth="1"/>
    <col min="36" max="37" width="4.140625" style="60" customWidth="1"/>
    <col min="38" max="38" width="5.5703125" style="60" customWidth="1"/>
    <col min="39" max="39" width="1.7109375" style="60" customWidth="1"/>
    <col min="40" max="40" width="14.28515625" style="60" customWidth="1"/>
    <col min="41" max="41" width="7.5703125" style="60" customWidth="1"/>
    <col min="42" max="42" width="8.85546875" style="60" customWidth="1"/>
    <col min="43" max="43" width="8.140625" style="60" customWidth="1"/>
    <col min="44" max="44" width="10.28515625" style="60" customWidth="1"/>
    <col min="45" max="45" width="6.140625" style="60" customWidth="1"/>
    <col min="46" max="46" width="7.5703125" style="60" customWidth="1"/>
    <col min="47" max="47" width="9.85546875" style="60" customWidth="1"/>
    <col min="48" max="48" width="9.42578125" style="60" customWidth="1"/>
    <col min="49" max="49" width="4.5703125" style="60" customWidth="1"/>
    <col min="50" max="50" width="1.7109375" style="60" customWidth="1"/>
    <col min="51" max="51" width="9.5703125" style="59" customWidth="1"/>
    <col min="52" max="52" width="11.42578125" style="60"/>
    <col min="53" max="53" width="3.7109375" style="60" customWidth="1"/>
    <col min="54" max="54" width="12.28515625" style="60" customWidth="1"/>
    <col min="55" max="55" width="11.42578125" style="60"/>
    <col min="56" max="56" width="13.140625" style="60" bestFit="1" customWidth="1"/>
    <col min="57" max="16384" width="11.42578125" style="60"/>
  </cols>
  <sheetData>
    <row r="1" spans="1:75" ht="21" customHeight="1" x14ac:dyDescent="0.2">
      <c r="A1" s="313"/>
      <c r="B1" s="61" t="s">
        <v>191</v>
      </c>
      <c r="C1" s="62"/>
      <c r="D1" s="63"/>
      <c r="E1" s="63"/>
      <c r="F1" s="63"/>
      <c r="G1" s="63"/>
      <c r="H1" s="63"/>
      <c r="I1" s="63"/>
      <c r="J1" s="63"/>
      <c r="K1" s="63"/>
      <c r="L1" s="63"/>
      <c r="M1" s="313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38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192"/>
      <c r="AN1" s="61" t="s">
        <v>46</v>
      </c>
      <c r="AO1" s="63"/>
      <c r="AP1" s="63"/>
      <c r="AQ1" s="63"/>
      <c r="AR1" s="63"/>
      <c r="AS1" s="63" t="s">
        <v>167</v>
      </c>
      <c r="AT1" s="63"/>
      <c r="AU1" s="63"/>
      <c r="AV1" s="201"/>
      <c r="AW1" s="63"/>
      <c r="AX1" s="202"/>
      <c r="AY1" s="69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1"/>
    </row>
    <row r="2" spans="1:75" ht="14.25" customHeight="1" x14ac:dyDescent="0.2">
      <c r="A2" s="313"/>
      <c r="B2" s="64"/>
      <c r="C2" s="309"/>
      <c r="D2" s="309"/>
      <c r="E2" s="309"/>
      <c r="F2" s="309"/>
      <c r="G2" s="309"/>
      <c r="H2" s="309"/>
      <c r="I2" s="65"/>
      <c r="J2" s="66"/>
      <c r="K2" s="66"/>
      <c r="L2" s="66"/>
      <c r="M2" s="313"/>
      <c r="N2" s="65"/>
      <c r="O2" s="65"/>
      <c r="P2" s="65"/>
      <c r="Q2" s="65"/>
      <c r="R2" s="65"/>
      <c r="S2" s="65"/>
      <c r="T2" s="65"/>
      <c r="U2" s="72"/>
      <c r="V2" s="307"/>
      <c r="W2" s="65"/>
      <c r="X2" s="65"/>
      <c r="Y2" s="65"/>
      <c r="Z2" s="65"/>
      <c r="AA2" s="65"/>
      <c r="AB2" s="38"/>
      <c r="AC2" s="65"/>
      <c r="AD2" s="67"/>
      <c r="AE2" s="67"/>
      <c r="AF2" s="67"/>
      <c r="AG2" s="67"/>
      <c r="AH2" s="67"/>
      <c r="AI2" s="67"/>
      <c r="AJ2" s="67"/>
      <c r="AK2" s="65"/>
      <c r="AL2" s="65"/>
      <c r="AM2" s="192"/>
      <c r="AN2" s="68" t="s">
        <v>102</v>
      </c>
      <c r="AO2" s="65"/>
      <c r="AP2" s="65"/>
      <c r="AQ2" s="69">
        <f>T11</f>
        <v>-4.8431734317343169</v>
      </c>
      <c r="AR2" s="69">
        <f>T12</f>
        <v>2.4393272778881632</v>
      </c>
      <c r="AS2" s="38">
        <f>T13</f>
        <v>90</v>
      </c>
      <c r="AT2" s="67" t="s">
        <v>4</v>
      </c>
      <c r="AU2" s="70" t="s">
        <v>161</v>
      </c>
      <c r="AV2" s="71"/>
      <c r="AW2" s="65"/>
      <c r="AX2" s="193"/>
      <c r="AY2" s="69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1"/>
    </row>
    <row r="3" spans="1:75" ht="14.1" customHeight="1" x14ac:dyDescent="0.2">
      <c r="A3" s="313"/>
      <c r="B3" s="74" t="s">
        <v>70</v>
      </c>
      <c r="C3" s="75"/>
      <c r="D3" s="72"/>
      <c r="E3" s="67"/>
      <c r="F3" s="67"/>
      <c r="G3" s="67"/>
      <c r="H3" s="67"/>
      <c r="I3" s="67"/>
      <c r="J3" s="67"/>
      <c r="K3" s="67"/>
      <c r="L3" s="67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72"/>
      <c r="Z3" s="72"/>
      <c r="AA3" s="72"/>
      <c r="AB3" s="38"/>
      <c r="AC3" s="72"/>
      <c r="AD3" s="38"/>
      <c r="AE3" s="2"/>
      <c r="AF3" s="31"/>
      <c r="AG3" s="31"/>
      <c r="AH3" s="4"/>
      <c r="AI3" s="4"/>
      <c r="AJ3" s="6"/>
      <c r="AK3" s="72"/>
      <c r="AL3" s="72"/>
      <c r="AM3" s="193"/>
      <c r="AN3" s="38" t="s">
        <v>162</v>
      </c>
      <c r="AO3" s="38"/>
      <c r="AP3" s="38"/>
      <c r="AQ3" s="15" t="s">
        <v>26</v>
      </c>
      <c r="AR3" s="80" t="str">
        <f>IF(AND(C6&gt;=0,C6&lt;=45,C5&lt;0),"Rectus",IF(AND(C6&gt;=135,C6&lt;=180,C5&lt;0),"Rectus","Inversus"))</f>
        <v>Rectus</v>
      </c>
      <c r="AS3" s="81" t="s">
        <v>24</v>
      </c>
      <c r="AT3" s="80" t="str">
        <f>IF(AND(C10&gt;=0,C10&lt;=45,C9&gt;C11),"Rectus",IF(AND(C10&gt;=135,C10&lt;=180,C9&gt;C11),"Rectus","Inversus"))</f>
        <v>Rectus</v>
      </c>
      <c r="AU3" s="38"/>
      <c r="AV3" s="38"/>
      <c r="AW3" s="38"/>
      <c r="AX3" s="191"/>
      <c r="AY3" s="69"/>
      <c r="AZ3" s="38"/>
      <c r="BA3" s="82"/>
      <c r="BB3" s="82"/>
      <c r="BC3" s="82"/>
      <c r="BD3" s="38"/>
      <c r="BE3" s="38"/>
      <c r="BF3" s="38"/>
      <c r="BG3" s="38"/>
      <c r="BH3" s="38"/>
      <c r="BI3" s="38"/>
      <c r="BJ3" s="38"/>
      <c r="BK3" s="38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1"/>
    </row>
    <row r="4" spans="1:75" ht="14.1" customHeight="1" x14ac:dyDescent="0.2">
      <c r="A4" s="313"/>
      <c r="B4" s="83" t="s">
        <v>32</v>
      </c>
      <c r="C4" s="203">
        <v>-2.5</v>
      </c>
      <c r="D4" s="83" t="s">
        <v>37</v>
      </c>
      <c r="E4" s="78" t="s">
        <v>168</v>
      </c>
      <c r="F4" s="38"/>
      <c r="G4" s="38"/>
      <c r="H4" s="79"/>
      <c r="I4" s="38"/>
      <c r="J4" s="72"/>
      <c r="K4" s="72"/>
      <c r="L4" s="72"/>
      <c r="M4" s="72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90"/>
      <c r="Z4" s="82"/>
      <c r="AA4" s="82"/>
      <c r="AB4" s="38"/>
      <c r="AC4" s="82"/>
      <c r="AD4" s="38"/>
      <c r="AE4" s="2"/>
      <c r="AF4" s="31"/>
      <c r="AG4" s="4"/>
      <c r="AH4" s="4"/>
      <c r="AI4" s="4"/>
      <c r="AJ4" s="6"/>
      <c r="AK4" s="82"/>
      <c r="AL4" s="82"/>
      <c r="AM4" s="194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191"/>
      <c r="AY4" s="69"/>
      <c r="AZ4" s="38"/>
      <c r="BA4" s="82"/>
      <c r="BB4" s="82"/>
      <c r="BC4" s="67"/>
      <c r="BD4" s="82"/>
      <c r="BE4" s="38"/>
      <c r="BF4" s="38"/>
      <c r="BG4" s="38"/>
      <c r="BH4" s="38"/>
      <c r="BI4" s="38"/>
      <c r="BJ4" s="38"/>
      <c r="BK4" s="38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1"/>
    </row>
    <row r="5" spans="1:75" ht="14.1" customHeight="1" x14ac:dyDescent="0.2">
      <c r="A5" s="313"/>
      <c r="B5" s="83" t="s">
        <v>69</v>
      </c>
      <c r="C5" s="204">
        <v>-2.75</v>
      </c>
      <c r="D5" s="83" t="s">
        <v>37</v>
      </c>
      <c r="E5" s="89" t="s">
        <v>146</v>
      </c>
      <c r="F5" s="67"/>
      <c r="G5" s="38"/>
      <c r="H5" s="38"/>
      <c r="I5" s="90" t="str">
        <f>AU20</f>
        <v>asphärische Geometrie</v>
      </c>
      <c r="J5" s="38"/>
      <c r="K5" s="90"/>
      <c r="L5" s="90"/>
      <c r="M5" s="90"/>
      <c r="N5" s="91" t="str">
        <f>IF(ABS(C9-C11)&lt;0.45,"/ rotationssymmetrisch (RS)","/ rücktorisch (RT)")</f>
        <v>/ rücktorisch (RT)</v>
      </c>
      <c r="O5" s="91"/>
      <c r="P5" s="313"/>
      <c r="Q5" s="313"/>
      <c r="R5" s="313"/>
      <c r="S5" s="313"/>
      <c r="T5" s="313"/>
      <c r="U5" s="313"/>
      <c r="V5" s="313"/>
      <c r="W5" s="313"/>
      <c r="X5" s="313"/>
      <c r="Y5" s="67"/>
      <c r="Z5" s="38"/>
      <c r="AA5" s="67"/>
      <c r="AB5" s="38"/>
      <c r="AC5" s="67"/>
      <c r="AD5" s="38"/>
      <c r="AE5" s="2"/>
      <c r="AF5" s="31"/>
      <c r="AG5" s="31"/>
      <c r="AH5" s="4"/>
      <c r="AI5" s="92"/>
      <c r="AJ5" s="6"/>
      <c r="AK5" s="67"/>
      <c r="AL5" s="67"/>
      <c r="AM5" s="195"/>
      <c r="AN5" s="93" t="s">
        <v>19</v>
      </c>
      <c r="AO5" s="67"/>
      <c r="AP5" s="94"/>
      <c r="AQ5" s="95" t="s">
        <v>47</v>
      </c>
      <c r="AR5" s="73" t="str">
        <f>IF(AP12&gt;8.2,"flache",IF(AP12&lt;7.4,"steile","normale"))</f>
        <v>normale</v>
      </c>
      <c r="AS5" s="67"/>
      <c r="AT5" s="67" t="s">
        <v>0</v>
      </c>
      <c r="AU5" s="67"/>
      <c r="AV5" s="67" t="str">
        <f>IF(AP12&lt;7,"Keratokonus ?","")</f>
        <v/>
      </c>
      <c r="AW5" s="67"/>
      <c r="AX5" s="195"/>
      <c r="AY5" s="67"/>
      <c r="AZ5" s="38"/>
      <c r="BA5" s="82"/>
      <c r="BB5" s="38"/>
      <c r="BC5" s="82"/>
      <c r="BD5" s="67"/>
      <c r="BE5" s="38"/>
      <c r="BF5" s="38"/>
      <c r="BG5" s="38"/>
      <c r="BH5" s="38"/>
      <c r="BI5" s="38"/>
      <c r="BJ5" s="38"/>
      <c r="BK5" s="38"/>
      <c r="BL5" s="73"/>
      <c r="BM5" s="79"/>
      <c r="BN5" s="79"/>
      <c r="BO5" s="79"/>
      <c r="BP5" s="67"/>
      <c r="BQ5" s="67"/>
      <c r="BR5" s="67"/>
      <c r="BS5" s="67"/>
      <c r="BT5" s="67"/>
      <c r="BU5" s="67"/>
      <c r="BV5" s="67"/>
    </row>
    <row r="6" spans="1:75" ht="14.1" customHeight="1" x14ac:dyDescent="0.2">
      <c r="A6" s="313"/>
      <c r="B6" s="96" t="s">
        <v>6</v>
      </c>
      <c r="C6" s="205">
        <v>0</v>
      </c>
      <c r="D6" s="83" t="s">
        <v>4</v>
      </c>
      <c r="E6" s="89" t="s">
        <v>140</v>
      </c>
      <c r="F6" s="67"/>
      <c r="G6" s="38"/>
      <c r="H6" s="38"/>
      <c r="I6" s="91" t="str">
        <f>O21</f>
        <v>RT - rücktorische HL / BTX</v>
      </c>
      <c r="J6" s="90"/>
      <c r="K6" s="90"/>
      <c r="L6" s="90"/>
      <c r="M6" s="90"/>
      <c r="N6" s="90"/>
      <c r="O6" s="90"/>
      <c r="P6" s="313"/>
      <c r="Q6" s="313"/>
      <c r="R6" s="313"/>
      <c r="S6" s="313"/>
      <c r="T6" s="313"/>
      <c r="U6" s="313"/>
      <c r="V6" s="313"/>
      <c r="W6" s="313"/>
      <c r="X6" s="313"/>
      <c r="Y6" s="82"/>
      <c r="Z6" s="38"/>
      <c r="AA6" s="82"/>
      <c r="AB6" s="38"/>
      <c r="AC6" s="82"/>
      <c r="AD6" s="38"/>
      <c r="AE6" s="2"/>
      <c r="AF6" s="31"/>
      <c r="AG6" s="31"/>
      <c r="AH6" s="4"/>
      <c r="AI6" s="92"/>
      <c r="AJ6" s="6"/>
      <c r="AK6" s="82"/>
      <c r="AL6" s="82"/>
      <c r="AM6" s="194"/>
      <c r="AN6" s="93" t="s">
        <v>22</v>
      </c>
      <c r="AO6" s="67"/>
      <c r="AP6" s="67"/>
      <c r="AQ6" s="95" t="s">
        <v>47</v>
      </c>
      <c r="AR6" s="73" t="str">
        <f>IF(AT14&gt;0.3,"stark",IF(AT14&lt;0.09,"gering","normal"))</f>
        <v>stark</v>
      </c>
      <c r="AS6" s="67"/>
      <c r="AT6" s="67" t="s">
        <v>23</v>
      </c>
      <c r="AU6" s="67"/>
      <c r="AV6" s="67"/>
      <c r="AW6" s="67"/>
      <c r="AX6" s="195"/>
      <c r="AY6" s="67"/>
      <c r="AZ6" s="67"/>
      <c r="BA6" s="38"/>
      <c r="BB6" s="38"/>
      <c r="BC6" s="67"/>
      <c r="BD6" s="82"/>
      <c r="BE6" s="38"/>
      <c r="BF6" s="38"/>
      <c r="BG6" s="38"/>
      <c r="BH6" s="38"/>
      <c r="BI6" s="38"/>
      <c r="BJ6" s="38"/>
      <c r="BK6" s="38"/>
      <c r="BL6" s="73"/>
      <c r="BM6" s="67"/>
      <c r="BN6" s="67"/>
      <c r="BO6" s="67"/>
      <c r="BP6" s="67"/>
      <c r="BQ6" s="67"/>
      <c r="BR6" s="67"/>
      <c r="BS6" s="67"/>
      <c r="BT6" s="67"/>
      <c r="BU6" s="67"/>
      <c r="BV6" s="67"/>
    </row>
    <row r="7" spans="1:75" ht="14.1" customHeight="1" x14ac:dyDescent="0.2">
      <c r="A7" s="313"/>
      <c r="B7" s="96" t="s">
        <v>40</v>
      </c>
      <c r="C7" s="206">
        <v>16</v>
      </c>
      <c r="D7" s="83" t="s">
        <v>1</v>
      </c>
      <c r="E7" s="38" t="s">
        <v>166</v>
      </c>
      <c r="F7" s="38"/>
      <c r="G7" s="38"/>
      <c r="H7" s="38"/>
      <c r="I7" s="91" t="str">
        <f>IF(ABS(O20)&lt;ABS(O19),"IA &lt; GA  -&gt; Hartlinsenvorteil","GA &lt; IA  -&gt; Weichlinsenvorteil")</f>
        <v>IA &lt; GA  -&gt; Hartlinsenvorteil</v>
      </c>
      <c r="J7" s="91"/>
      <c r="K7" s="91"/>
      <c r="L7" s="91"/>
      <c r="M7" s="91"/>
      <c r="N7" s="90"/>
      <c r="O7" s="90"/>
      <c r="P7" s="313"/>
      <c r="Q7" s="313"/>
      <c r="R7" s="313"/>
      <c r="S7" s="313"/>
      <c r="T7" s="313"/>
      <c r="U7" s="313"/>
      <c r="V7" s="313"/>
      <c r="W7" s="313"/>
      <c r="X7" s="313"/>
      <c r="Y7" s="67"/>
      <c r="Z7" s="38"/>
      <c r="AA7" s="67"/>
      <c r="AB7" s="38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195"/>
      <c r="AN7" s="93" t="s">
        <v>33</v>
      </c>
      <c r="AO7" s="67"/>
      <c r="AP7" s="67"/>
      <c r="AQ7" s="95" t="s">
        <v>47</v>
      </c>
      <c r="AR7" s="73" t="s">
        <v>24</v>
      </c>
      <c r="AS7" s="95" t="s">
        <v>25</v>
      </c>
      <c r="AT7" s="93">
        <f>-AT14*6</f>
        <v>-3.5999999999999979</v>
      </c>
      <c r="AU7" s="67">
        <f>IF(C9&gt;C11,C10,IF(C10&gt;90,C10-90,C10+90))</f>
        <v>0</v>
      </c>
      <c r="AV7" s="67" t="s">
        <v>4</v>
      </c>
      <c r="AW7" s="67"/>
      <c r="AX7" s="195"/>
      <c r="AY7" s="67"/>
      <c r="AZ7" s="98"/>
      <c r="BA7" s="38"/>
      <c r="BB7" s="38"/>
      <c r="BC7" s="38"/>
      <c r="BD7" s="67"/>
      <c r="BE7" s="38"/>
      <c r="BF7" s="38"/>
      <c r="BG7" s="38"/>
      <c r="BH7" s="38"/>
      <c r="BI7" s="38"/>
      <c r="BJ7" s="38"/>
      <c r="BK7" s="38"/>
      <c r="BL7" s="73"/>
      <c r="BM7" s="79"/>
      <c r="BN7" s="67"/>
      <c r="BO7" s="67"/>
      <c r="BP7" s="67"/>
      <c r="BQ7" s="67"/>
      <c r="BR7" s="67"/>
      <c r="BS7" s="93"/>
      <c r="BT7" s="99"/>
      <c r="BU7" s="100"/>
      <c r="BV7" s="67"/>
    </row>
    <row r="8" spans="1:75" ht="15" customHeight="1" x14ac:dyDescent="0.2">
      <c r="A8" s="313"/>
      <c r="B8" s="101" t="s">
        <v>131</v>
      </c>
      <c r="C8" s="69"/>
      <c r="D8" s="83"/>
      <c r="E8" s="67"/>
      <c r="F8" s="67"/>
      <c r="G8" s="73"/>
      <c r="H8" s="73"/>
      <c r="I8" s="91" t="str">
        <f>IF(ABS(O20)&lt;ABS(O19),IF(ABS(O20)&lt;=0.5,"IA &lt;= 0,5  -&gt; sphärisch wirksame Linse","IA &gt; 0,5  -&gt;  astigmatische Linse"),IF(ABS(O19)&lt;=0.5,"GA &lt;= 0,5  -&gt; sphärisch wirksame Linse","GA &gt; 0,5  -&gt;  astigmatische Linse"))</f>
        <v>IA &gt; 0,5  -&gt;  astigmatische Linse</v>
      </c>
      <c r="J8" s="91"/>
      <c r="K8" s="91"/>
      <c r="L8" s="91"/>
      <c r="M8" s="90"/>
      <c r="N8" s="90"/>
      <c r="O8" s="90"/>
      <c r="P8" s="313"/>
      <c r="Q8" s="313"/>
      <c r="R8" s="313"/>
      <c r="S8" s="313"/>
      <c r="T8" s="313"/>
      <c r="U8" s="313"/>
      <c r="V8" s="313"/>
      <c r="W8" s="313"/>
      <c r="X8" s="313"/>
      <c r="Y8" s="38"/>
      <c r="Z8" s="38"/>
      <c r="AA8" s="67"/>
      <c r="AB8" s="38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195"/>
      <c r="AN8" s="73" t="s">
        <v>26</v>
      </c>
      <c r="AO8" s="95" t="s">
        <v>25</v>
      </c>
      <c r="AP8" s="93">
        <f>O12</f>
        <v>-2.4393272778881632</v>
      </c>
      <c r="AQ8" s="67">
        <f>IF(C5=0," ",C6)</f>
        <v>0</v>
      </c>
      <c r="AR8" s="73" t="s">
        <v>53</v>
      </c>
      <c r="AS8" s="95" t="s">
        <v>25</v>
      </c>
      <c r="AT8" s="93">
        <f>IF(AR3=AT3,AP8-AT7,AP8*(-1)-AT7)</f>
        <v>1.1606727221118347</v>
      </c>
      <c r="AU8" s="103">
        <f>AU7</f>
        <v>0</v>
      </c>
      <c r="AV8" s="103" t="s">
        <v>4</v>
      </c>
      <c r="AW8" s="103"/>
      <c r="AX8" s="198"/>
      <c r="AY8" s="103"/>
      <c r="AZ8" s="67"/>
      <c r="BA8" s="104"/>
      <c r="BB8" s="104"/>
      <c r="BC8" s="67"/>
      <c r="BD8" s="67"/>
      <c r="BE8" s="38"/>
      <c r="BF8" s="38"/>
      <c r="BG8" s="38"/>
      <c r="BH8" s="38"/>
      <c r="BI8" s="38"/>
      <c r="BJ8" s="38"/>
      <c r="BK8" s="38"/>
      <c r="BL8" s="73"/>
      <c r="BM8" s="79"/>
      <c r="BN8" s="67"/>
      <c r="BO8" s="67"/>
      <c r="BP8" s="67"/>
      <c r="BQ8" s="67"/>
      <c r="BR8" s="67"/>
      <c r="BS8" s="93"/>
      <c r="BT8" s="99"/>
      <c r="BU8" s="100"/>
      <c r="BV8" s="67"/>
    </row>
    <row r="9" spans="1:75" ht="14.1" customHeight="1" x14ac:dyDescent="0.2">
      <c r="A9" s="313"/>
      <c r="B9" s="83" t="s">
        <v>5</v>
      </c>
      <c r="C9" s="203">
        <v>8.11</v>
      </c>
      <c r="D9" s="83" t="s">
        <v>1</v>
      </c>
      <c r="E9" s="38"/>
      <c r="F9" s="38"/>
      <c r="G9" s="38"/>
      <c r="H9" s="38"/>
      <c r="I9" s="91" t="str">
        <f>IF(ABS(O20)&lt;ABS(O19),IF(AT14&lt;0.45,"Δ rc &lt;= 0,5  -&gt;  rotationssymmetrische Rückfläche","Δ rc &gt;= 0,4  -&gt;  rücktorische Fläche"),"")</f>
        <v>Δ rc &gt;= 0,4  -&gt;  rücktorische Fläche</v>
      </c>
      <c r="J9" s="91"/>
      <c r="K9" s="91"/>
      <c r="L9" s="91"/>
      <c r="M9" s="91"/>
      <c r="N9" s="91"/>
      <c r="O9" s="91"/>
      <c r="P9" s="313"/>
      <c r="Q9" s="313"/>
      <c r="R9" s="313"/>
      <c r="S9" s="313"/>
      <c r="T9" s="313"/>
      <c r="U9" s="313"/>
      <c r="V9" s="313"/>
      <c r="W9" s="313"/>
      <c r="X9" s="313"/>
      <c r="Y9" s="91"/>
      <c r="Z9" s="38"/>
      <c r="AA9" s="67"/>
      <c r="AB9" s="38"/>
      <c r="AC9" s="67"/>
      <c r="AD9" s="38"/>
      <c r="AE9" s="38"/>
      <c r="AF9" s="38"/>
      <c r="AG9" s="38"/>
      <c r="AH9" s="38"/>
      <c r="AI9" s="38"/>
      <c r="AJ9" s="38"/>
      <c r="AK9" s="67"/>
      <c r="AL9" s="67"/>
      <c r="AM9" s="195"/>
      <c r="AN9" s="69" t="s">
        <v>62</v>
      </c>
      <c r="AO9" s="67"/>
      <c r="AP9" s="38"/>
      <c r="AQ9" s="67"/>
      <c r="AR9" s="73"/>
      <c r="AS9" s="38"/>
      <c r="AT9" s="67"/>
      <c r="AU9" s="107" t="str">
        <f>IF(ABS(AT8)&lt;ABS(AP8),IF(ABS(AT8)&gt;0.5,IF(AT14&lt;0.4,"VPT - vorderprismatischtorische HL","RT - rücktorische HL / BTX"),IF(AT14&lt;0.45,"RS - rotationssym. HL","BTC - bitorischkompensierte HL")),IF(ABS(AP8)&gt;0.5,"torische Weichlinse","sph. wirksame Weichlinse"))</f>
        <v>RT - rücktorische HL / BTX</v>
      </c>
      <c r="AV9" s="38"/>
      <c r="AW9" s="107"/>
      <c r="AX9" s="199"/>
      <c r="AY9" s="69"/>
      <c r="AZ9" s="38"/>
      <c r="BA9" s="38"/>
      <c r="BB9" s="38"/>
      <c r="BC9" s="38"/>
      <c r="BD9" s="67"/>
      <c r="BE9" s="38"/>
      <c r="BF9" s="38"/>
      <c r="BG9" s="38"/>
      <c r="BH9" s="38"/>
      <c r="BI9" s="38"/>
      <c r="BJ9" s="38"/>
      <c r="BK9" s="38"/>
      <c r="BL9" s="73"/>
      <c r="BM9" s="79"/>
      <c r="BN9" s="67"/>
      <c r="BO9" s="67"/>
      <c r="BP9" s="67"/>
      <c r="BQ9" s="67"/>
      <c r="BR9" s="67"/>
      <c r="BS9" s="93"/>
      <c r="BT9" s="99"/>
      <c r="BU9" s="100"/>
      <c r="BV9" s="67"/>
    </row>
    <row r="10" spans="1:75" ht="14.1" customHeight="1" x14ac:dyDescent="0.2">
      <c r="A10" s="313"/>
      <c r="B10" s="83" t="s">
        <v>44</v>
      </c>
      <c r="C10" s="207">
        <v>0</v>
      </c>
      <c r="D10" s="83" t="s">
        <v>4</v>
      </c>
      <c r="E10" s="38"/>
      <c r="F10" s="38"/>
      <c r="G10" s="38"/>
      <c r="H10" s="38"/>
      <c r="I10" s="90" t="str">
        <f>IF(I6="RT - rücktorische HL / BTX",IF(AND(I6="RT - rücktorische HL / BTX",ABS(O18/3-O20)&lt;=0.1),"RT - Vollkorrektionsfall weil IA=HHA/3","RT - Linse als Messlinse für BTX"),"")</f>
        <v>RT - Linse als Messlinse für BTX</v>
      </c>
      <c r="J10" s="38"/>
      <c r="K10" s="90"/>
      <c r="L10" s="90"/>
      <c r="M10" s="90"/>
      <c r="N10" s="91"/>
      <c r="O10" s="91"/>
      <c r="P10" s="310"/>
      <c r="Q10" s="310"/>
      <c r="R10" s="310"/>
      <c r="S10" s="322" t="s">
        <v>165</v>
      </c>
      <c r="T10" s="310"/>
      <c r="U10" s="310"/>
      <c r="V10" s="67"/>
      <c r="W10" s="38"/>
      <c r="X10" s="38"/>
      <c r="Y10" s="38"/>
      <c r="Z10" s="38"/>
      <c r="AA10" s="67"/>
      <c r="AB10" s="38"/>
      <c r="AC10" s="67"/>
      <c r="AD10" s="38"/>
      <c r="AE10" s="38"/>
      <c r="AF10" s="38"/>
      <c r="AG10" s="38"/>
      <c r="AH10" s="38"/>
      <c r="AI10" s="38"/>
      <c r="AJ10" s="38"/>
      <c r="AK10" s="67"/>
      <c r="AL10" s="67"/>
      <c r="AM10" s="195"/>
      <c r="AN10" s="108" t="s">
        <v>15</v>
      </c>
      <c r="AO10" s="67" t="s">
        <v>13</v>
      </c>
      <c r="AP10" s="109">
        <f>IF(C9&gt;=C11,C13+AT14,C13-AT14)</f>
        <v>8.3999999999999986</v>
      </c>
      <c r="AQ10" s="67" t="s">
        <v>1</v>
      </c>
      <c r="AR10" s="110" t="s">
        <v>17</v>
      </c>
      <c r="AS10" s="67" t="s">
        <v>13</v>
      </c>
      <c r="AT10" s="111">
        <f>IF(C9&gt;=C11,C15-AT14,C15+AT14)</f>
        <v>7.7000000000000011</v>
      </c>
      <c r="AU10" s="67" t="s">
        <v>1</v>
      </c>
      <c r="AV10" s="67"/>
      <c r="AW10" s="67"/>
      <c r="AX10" s="195"/>
      <c r="AY10" s="103"/>
      <c r="AZ10" s="38"/>
      <c r="BA10" s="38"/>
      <c r="BB10" s="38"/>
      <c r="BC10" s="38"/>
      <c r="BD10" s="67"/>
      <c r="BE10" s="38"/>
      <c r="BF10" s="38"/>
      <c r="BG10" s="38"/>
      <c r="BH10" s="38"/>
      <c r="BI10" s="38"/>
      <c r="BJ10" s="38"/>
      <c r="BK10" s="38"/>
      <c r="BL10" s="73"/>
      <c r="BM10" s="67"/>
      <c r="BN10" s="67"/>
      <c r="BO10" s="67"/>
      <c r="BP10" s="67"/>
      <c r="BQ10" s="67"/>
      <c r="BR10" s="67"/>
      <c r="BS10" s="67"/>
      <c r="BT10" s="67"/>
      <c r="BU10" s="67"/>
      <c r="BV10" s="67"/>
    </row>
    <row r="11" spans="1:75" ht="14.1" customHeight="1" x14ac:dyDescent="0.2">
      <c r="A11" s="313"/>
      <c r="B11" s="83" t="s">
        <v>7</v>
      </c>
      <c r="C11" s="204">
        <v>7.51</v>
      </c>
      <c r="D11" s="83" t="s">
        <v>1</v>
      </c>
      <c r="E11" s="67"/>
      <c r="F11" s="67"/>
      <c r="G11" s="67"/>
      <c r="H11" s="67"/>
      <c r="I11" s="67"/>
      <c r="J11" s="67"/>
      <c r="K11" s="67"/>
      <c r="L11" s="67"/>
      <c r="M11" s="313"/>
      <c r="N11" s="311" t="s">
        <v>32</v>
      </c>
      <c r="O11" s="312">
        <f>C4/(1-C7/1000*C4)</f>
        <v>-2.4038461538461537</v>
      </c>
      <c r="P11" s="310" t="s">
        <v>37</v>
      </c>
      <c r="Q11" s="310"/>
      <c r="R11" s="313"/>
      <c r="S11" s="313"/>
      <c r="T11" s="314">
        <f>O11+O12</f>
        <v>-4.8431734317343169</v>
      </c>
      <c r="U11" s="310"/>
      <c r="V11" s="72"/>
      <c r="W11" s="72"/>
      <c r="X11" s="72"/>
      <c r="Y11" s="72"/>
      <c r="Z11" s="72"/>
      <c r="AA11" s="72"/>
      <c r="AB11" s="38"/>
      <c r="AC11" s="67"/>
      <c r="AD11" s="38"/>
      <c r="AE11" s="38"/>
      <c r="AF11" s="38"/>
      <c r="AG11" s="38"/>
      <c r="AH11" s="38"/>
      <c r="AI11" s="38"/>
      <c r="AJ11" s="38"/>
      <c r="AK11" s="67"/>
      <c r="AL11" s="67"/>
      <c r="AM11" s="195"/>
      <c r="AN11" s="108" t="s">
        <v>16</v>
      </c>
      <c r="AO11" s="67" t="s">
        <v>13</v>
      </c>
      <c r="AP11" s="109">
        <f>IF(C9&gt;=C11,C14+AT14,C14-AT14)</f>
        <v>8.3999999999999986</v>
      </c>
      <c r="AQ11" s="67" t="s">
        <v>1</v>
      </c>
      <c r="AR11" s="110" t="s">
        <v>18</v>
      </c>
      <c r="AS11" s="67" t="s">
        <v>13</v>
      </c>
      <c r="AT11" s="111">
        <f>IF(C9&gt;=C11,C16-AT14,C16+AT14)</f>
        <v>7.7000000000000011</v>
      </c>
      <c r="AU11" s="67" t="s">
        <v>1</v>
      </c>
      <c r="AV11" s="67"/>
      <c r="AW11" s="67"/>
      <c r="AX11" s="195"/>
      <c r="AY11" s="67"/>
      <c r="AZ11" s="38"/>
      <c r="BA11" s="38"/>
      <c r="BB11" s="38"/>
      <c r="BC11" s="38"/>
      <c r="BD11" s="67"/>
      <c r="BE11" s="38"/>
      <c r="BF11" s="38"/>
      <c r="BG11" s="38"/>
      <c r="BH11" s="38"/>
      <c r="BI11" s="38"/>
      <c r="BJ11" s="38"/>
      <c r="BK11" s="38"/>
      <c r="BL11" s="73"/>
      <c r="BM11" s="79"/>
      <c r="BN11" s="67"/>
      <c r="BO11" s="67"/>
      <c r="BP11" s="67"/>
      <c r="BQ11" s="67"/>
      <c r="BR11" s="67"/>
      <c r="BS11" s="67"/>
      <c r="BT11" s="79"/>
      <c r="BU11" s="67"/>
      <c r="BV11" s="67"/>
    </row>
    <row r="12" spans="1:75" ht="15" customHeight="1" x14ac:dyDescent="0.2">
      <c r="A12" s="313"/>
      <c r="B12" s="83" t="s">
        <v>41</v>
      </c>
      <c r="C12" s="207">
        <v>30</v>
      </c>
      <c r="D12" s="83" t="s">
        <v>4</v>
      </c>
      <c r="E12" s="67"/>
      <c r="F12" s="67"/>
      <c r="G12" s="112" t="s">
        <v>109</v>
      </c>
      <c r="H12" s="113">
        <f>IF(AR3="Rectus",O13,T13)</f>
        <v>0</v>
      </c>
      <c r="I12" s="114">
        <f>IF(H12&gt;90,H12-90,H12+90)</f>
        <v>90</v>
      </c>
      <c r="J12" s="67"/>
      <c r="K12" s="67"/>
      <c r="L12" s="67"/>
      <c r="M12" s="313"/>
      <c r="N12" s="311" t="s">
        <v>134</v>
      </c>
      <c r="O12" s="312">
        <f>(C4+C5)/(1-C7/1000*(C4+C5))-O11</f>
        <v>-2.4393272778881632</v>
      </c>
      <c r="P12" s="310" t="s">
        <v>37</v>
      </c>
      <c r="Q12" s="310"/>
      <c r="R12" s="313"/>
      <c r="S12" s="313"/>
      <c r="T12" s="314">
        <f>O12*(-1)</f>
        <v>2.4393272778881632</v>
      </c>
      <c r="U12" s="310"/>
      <c r="V12" s="72"/>
      <c r="W12" s="72"/>
      <c r="X12" s="72"/>
      <c r="Y12" s="72"/>
      <c r="Z12" s="72"/>
      <c r="AA12" s="72"/>
      <c r="AB12" s="38"/>
      <c r="AC12" s="67"/>
      <c r="AD12" s="38"/>
      <c r="AE12" s="38"/>
      <c r="AF12" s="38"/>
      <c r="AG12" s="38"/>
      <c r="AH12" s="38"/>
      <c r="AI12" s="38"/>
      <c r="AJ12" s="38"/>
      <c r="AK12" s="67"/>
      <c r="AL12" s="67"/>
      <c r="AM12" s="195"/>
      <c r="AN12" s="73" t="s">
        <v>20</v>
      </c>
      <c r="AO12" s="67" t="s">
        <v>13</v>
      </c>
      <c r="AP12" s="115">
        <f>(C9+C11)/2</f>
        <v>7.81</v>
      </c>
      <c r="AQ12" s="67" t="s">
        <v>1</v>
      </c>
      <c r="AR12" s="73" t="s">
        <v>12</v>
      </c>
      <c r="AS12" s="67" t="s">
        <v>13</v>
      </c>
      <c r="AT12" s="111">
        <f>IF(C9&gt;=C11,C9,C11)</f>
        <v>8.11</v>
      </c>
      <c r="AU12" s="116" t="s">
        <v>1</v>
      </c>
      <c r="AV12" s="38"/>
      <c r="AW12" s="38"/>
      <c r="AX12" s="191"/>
      <c r="AY12" s="107"/>
      <c r="AZ12" s="38"/>
      <c r="BA12" s="38"/>
      <c r="BB12" s="38"/>
      <c r="BC12" s="38"/>
      <c r="BD12" s="67"/>
      <c r="BE12" s="38"/>
      <c r="BF12" s="38"/>
      <c r="BG12" s="38"/>
      <c r="BH12" s="38"/>
      <c r="BI12" s="38"/>
      <c r="BJ12" s="38"/>
      <c r="BK12" s="38"/>
      <c r="BL12" s="73"/>
      <c r="BM12" s="67"/>
      <c r="BN12" s="67"/>
      <c r="BO12" s="67"/>
      <c r="BP12" s="67"/>
      <c r="BQ12" s="67"/>
      <c r="BR12" s="67"/>
      <c r="BS12" s="67"/>
      <c r="BT12" s="67"/>
      <c r="BU12" s="67"/>
      <c r="BV12" s="67"/>
    </row>
    <row r="13" spans="1:75" ht="15.75" customHeight="1" x14ac:dyDescent="0.2">
      <c r="A13" s="313"/>
      <c r="B13" s="83" t="s">
        <v>8</v>
      </c>
      <c r="C13" s="204">
        <v>7.8</v>
      </c>
      <c r="D13" s="83" t="s">
        <v>1</v>
      </c>
      <c r="E13" s="67"/>
      <c r="F13" s="67"/>
      <c r="G13" s="121" t="s">
        <v>97</v>
      </c>
      <c r="H13" s="122">
        <f>IF(AR3="Rectus",O11*-1,T11*-1)</f>
        <v>2.4038461538461537</v>
      </c>
      <c r="I13" s="123">
        <f>IF(AR3="Rectus",(O11+O12)*-1,(T11+T12)*-1)</f>
        <v>4.8431734317343169</v>
      </c>
      <c r="J13" s="67"/>
      <c r="K13" s="67"/>
      <c r="L13" s="67"/>
      <c r="M13" s="313"/>
      <c r="N13" s="315" t="s">
        <v>6</v>
      </c>
      <c r="O13" s="313">
        <f>C6</f>
        <v>0</v>
      </c>
      <c r="P13" s="310" t="s">
        <v>4</v>
      </c>
      <c r="Q13" s="310"/>
      <c r="R13" s="313"/>
      <c r="S13" s="313"/>
      <c r="T13" s="310">
        <f>IF(C6&gt;90,C6-90,C6+90)</f>
        <v>90</v>
      </c>
      <c r="U13" s="310" t="s">
        <v>4</v>
      </c>
      <c r="V13" s="72"/>
      <c r="W13" s="72"/>
      <c r="X13" s="72"/>
      <c r="Y13" s="72"/>
      <c r="Z13" s="72"/>
      <c r="AA13" s="72"/>
      <c r="AB13" s="38"/>
      <c r="AC13" s="67"/>
      <c r="AD13" s="38"/>
      <c r="AE13" s="38"/>
      <c r="AF13" s="38"/>
      <c r="AG13" s="38"/>
      <c r="AH13" s="38"/>
      <c r="AI13" s="38"/>
      <c r="AJ13" s="38"/>
      <c r="AK13" s="67"/>
      <c r="AL13" s="67"/>
      <c r="AM13" s="195"/>
      <c r="AN13" s="73" t="s">
        <v>21</v>
      </c>
      <c r="AO13" s="67" t="s">
        <v>13</v>
      </c>
      <c r="AP13" s="115">
        <f>SUM(C13:C16)/4</f>
        <v>8.0500000000000007</v>
      </c>
      <c r="AQ13" s="67" t="s">
        <v>1</v>
      </c>
      <c r="AR13" s="73" t="s">
        <v>14</v>
      </c>
      <c r="AS13" s="67" t="s">
        <v>13</v>
      </c>
      <c r="AT13" s="124">
        <f>IF(C9&gt;=C11,(C13+C14)/2+AT14,(C15+C16)/2+AT14)</f>
        <v>8.3999999999999986</v>
      </c>
      <c r="AU13" s="116" t="s">
        <v>1</v>
      </c>
      <c r="AV13" s="38"/>
      <c r="AW13" s="38"/>
      <c r="AX13" s="191"/>
      <c r="AY13" s="67"/>
      <c r="AZ13" s="38"/>
      <c r="BA13" s="38"/>
      <c r="BB13" s="38"/>
      <c r="BC13" s="38"/>
      <c r="BD13" s="67"/>
      <c r="BE13" s="38"/>
      <c r="BF13" s="38"/>
      <c r="BG13" s="38"/>
      <c r="BH13" s="38"/>
      <c r="BI13" s="38"/>
      <c r="BJ13" s="38"/>
      <c r="BK13" s="38"/>
      <c r="BL13" s="73"/>
      <c r="BM13" s="67"/>
      <c r="BN13" s="110"/>
      <c r="BO13" s="67"/>
      <c r="BP13" s="67"/>
      <c r="BQ13" s="67"/>
      <c r="BR13" s="67"/>
      <c r="BS13" s="67"/>
      <c r="BT13" s="73"/>
      <c r="BU13" s="93"/>
      <c r="BV13" s="67"/>
    </row>
    <row r="14" spans="1:75" ht="13.5" customHeight="1" x14ac:dyDescent="0.2">
      <c r="A14" s="313"/>
      <c r="B14" s="83" t="s">
        <v>9</v>
      </c>
      <c r="C14" s="204">
        <v>7.8</v>
      </c>
      <c r="D14" s="83" t="s">
        <v>1</v>
      </c>
      <c r="E14" s="67"/>
      <c r="F14" s="67"/>
      <c r="G14" s="121" t="str">
        <f>"+S'TL"</f>
        <v>+S'TL</v>
      </c>
      <c r="H14" s="122">
        <f>(C9-AT30)*5</f>
        <v>0.79999999999999627</v>
      </c>
      <c r="I14" s="125">
        <f>(C11-AT30)*5</f>
        <v>-2.200000000000002</v>
      </c>
      <c r="J14" s="67"/>
      <c r="K14" s="67"/>
      <c r="L14" s="67"/>
      <c r="M14" s="313"/>
      <c r="N14" s="315" t="s">
        <v>40</v>
      </c>
      <c r="O14" s="313">
        <v>0</v>
      </c>
      <c r="P14" s="310" t="s">
        <v>1</v>
      </c>
      <c r="Q14" s="310"/>
      <c r="R14" s="313"/>
      <c r="S14" s="313"/>
      <c r="T14" s="310"/>
      <c r="U14" s="310"/>
      <c r="V14" s="72"/>
      <c r="W14" s="72"/>
      <c r="X14" s="72"/>
      <c r="Y14" s="72"/>
      <c r="Z14" s="72"/>
      <c r="AA14" s="72"/>
      <c r="AB14" s="38"/>
      <c r="AC14" s="38"/>
      <c r="AD14" s="38"/>
      <c r="AE14" s="38"/>
      <c r="AF14" s="38"/>
      <c r="AG14" s="38"/>
      <c r="AH14" s="67"/>
      <c r="AI14" s="67"/>
      <c r="AJ14" s="67"/>
      <c r="AK14" s="67"/>
      <c r="AL14" s="67"/>
      <c r="AM14" s="195"/>
      <c r="AN14" s="82" t="s">
        <v>142</v>
      </c>
      <c r="AO14" s="82"/>
      <c r="AP14" s="98">
        <f>RADIANS(C12)</f>
        <v>0.52359877559829882</v>
      </c>
      <c r="AQ14" s="82"/>
      <c r="AR14" s="73" t="s">
        <v>63</v>
      </c>
      <c r="AS14" s="67" t="s">
        <v>13</v>
      </c>
      <c r="AT14" s="111">
        <f>IF(C9&gt;=C11,C9-C11,C11-C9)</f>
        <v>0.59999999999999964</v>
      </c>
      <c r="AU14" s="116" t="s">
        <v>1</v>
      </c>
      <c r="AV14" s="38"/>
      <c r="AW14" s="38"/>
      <c r="AX14" s="191"/>
      <c r="AY14" s="67"/>
      <c r="AZ14" s="38"/>
      <c r="BA14" s="38"/>
      <c r="BB14" s="38"/>
      <c r="BC14" s="38"/>
      <c r="BD14" s="67"/>
      <c r="BE14" s="38"/>
      <c r="BF14" s="38"/>
      <c r="BG14" s="38"/>
      <c r="BH14" s="38"/>
      <c r="BI14" s="38"/>
      <c r="BJ14" s="38"/>
      <c r="BK14" s="38"/>
      <c r="BL14" s="73"/>
      <c r="BM14" s="67"/>
      <c r="BN14" s="89"/>
      <c r="BO14" s="67"/>
      <c r="BP14" s="67"/>
      <c r="BQ14" s="67"/>
      <c r="BR14" s="67"/>
      <c r="BS14" s="67"/>
      <c r="BT14" s="73"/>
      <c r="BU14" s="93"/>
      <c r="BV14" s="67"/>
    </row>
    <row r="15" spans="1:75" ht="14.25" customHeight="1" x14ac:dyDescent="0.3">
      <c r="A15" s="313"/>
      <c r="B15" s="83" t="s">
        <v>10</v>
      </c>
      <c r="C15" s="204">
        <v>8.3000000000000007</v>
      </c>
      <c r="D15" s="83" t="s">
        <v>1</v>
      </c>
      <c r="E15" s="67"/>
      <c r="F15" s="67"/>
      <c r="G15" s="121" t="str">
        <f>"+S'KL"</f>
        <v>+S'KL</v>
      </c>
      <c r="H15" s="128">
        <f>(H13+H14)*-1</f>
        <v>-3.20384615384615</v>
      </c>
      <c r="I15" s="129">
        <f>(I13+I14)*-1</f>
        <v>-2.643173431734315</v>
      </c>
      <c r="J15" s="67"/>
      <c r="K15" s="67"/>
      <c r="L15" s="67"/>
      <c r="M15" s="313"/>
      <c r="N15" s="316" t="s">
        <v>135</v>
      </c>
      <c r="O15" s="313"/>
      <c r="P15" s="313"/>
      <c r="Q15" s="313"/>
      <c r="R15" s="313"/>
      <c r="S15" s="313"/>
      <c r="T15" s="310"/>
      <c r="U15" s="310"/>
      <c r="V15" s="72"/>
      <c r="W15" s="72"/>
      <c r="X15" s="72"/>
      <c r="Y15" s="72"/>
      <c r="Z15" s="72"/>
      <c r="AA15" s="72"/>
      <c r="AB15" s="38"/>
      <c r="AC15" s="38"/>
      <c r="AD15" s="67"/>
      <c r="AE15" s="67"/>
      <c r="AF15" s="67"/>
      <c r="AG15" s="67"/>
      <c r="AH15" s="67"/>
      <c r="AI15" s="67"/>
      <c r="AJ15" s="67"/>
      <c r="AK15" s="67"/>
      <c r="AL15" s="67"/>
      <c r="AM15" s="195"/>
      <c r="AN15" s="108" t="s">
        <v>29</v>
      </c>
      <c r="AO15" s="130">
        <f>C12</f>
        <v>30</v>
      </c>
      <c r="AP15" s="131">
        <f>IF(AP12&lt;AP13,1/SIN(AP14)*SQRT(1-(AP12*AP12)/(AP13*AP13)),1/SIN(AP14)*SQRT((AP12*AP12)/(AP13*AP13)-1)*(-1))</f>
        <v>0.48472043322264763</v>
      </c>
      <c r="AQ15" s="38"/>
      <c r="AR15" s="108" t="s">
        <v>144</v>
      </c>
      <c r="AS15" s="38" t="s">
        <v>13</v>
      </c>
      <c r="AT15" s="132">
        <f>IF(AO15&lt;30,ROUND(AP15+0.1,3),ROUND(AP15,3))</f>
        <v>0.48499999999999999</v>
      </c>
      <c r="AU15" s="38"/>
      <c r="AV15" s="38"/>
      <c r="AW15" s="38"/>
      <c r="AX15" s="191"/>
      <c r="AY15" s="38"/>
      <c r="AZ15" s="38"/>
      <c r="BA15" s="38"/>
      <c r="BB15" s="38"/>
      <c r="BC15" s="38"/>
      <c r="BD15" s="67"/>
      <c r="BE15" s="38"/>
      <c r="BF15" s="38"/>
      <c r="BG15" s="38"/>
      <c r="BH15" s="38"/>
      <c r="BI15" s="38"/>
      <c r="BJ15" s="38"/>
      <c r="BK15" s="38"/>
      <c r="BL15" s="73"/>
      <c r="BM15" s="67"/>
      <c r="BN15" s="67"/>
      <c r="BO15" s="67"/>
      <c r="BP15" s="67"/>
      <c r="BQ15" s="67"/>
      <c r="BR15" s="67"/>
      <c r="BS15" s="67"/>
      <c r="BT15" s="73"/>
      <c r="BU15" s="93"/>
      <c r="BV15" s="67"/>
    </row>
    <row r="16" spans="1:75" ht="14.1" customHeight="1" thickBot="1" x14ac:dyDescent="0.35">
      <c r="A16" s="313"/>
      <c r="B16" s="83" t="s">
        <v>11</v>
      </c>
      <c r="C16" s="208">
        <v>8.3000000000000007</v>
      </c>
      <c r="D16" s="83" t="s">
        <v>1</v>
      </c>
      <c r="E16" s="67"/>
      <c r="F16" s="67"/>
      <c r="G16" s="134" t="str">
        <f>"=GRD"</f>
        <v>=GRD</v>
      </c>
      <c r="H16" s="135">
        <v>0</v>
      </c>
      <c r="I16" s="136">
        <v>0</v>
      </c>
      <c r="J16" s="67"/>
      <c r="K16" s="67"/>
      <c r="L16" s="67"/>
      <c r="M16" s="313"/>
      <c r="N16" s="317" t="s">
        <v>136</v>
      </c>
      <c r="O16" s="317" t="str">
        <f>AR5</f>
        <v>normale</v>
      </c>
      <c r="P16" s="313" t="str">
        <f>AT5</f>
        <v>Zentralradien</v>
      </c>
      <c r="Q16" s="313"/>
      <c r="R16" s="313"/>
      <c r="S16" s="313"/>
      <c r="T16" s="310"/>
      <c r="U16" s="310"/>
      <c r="V16" s="72"/>
      <c r="W16" s="72"/>
      <c r="X16" s="72"/>
      <c r="Y16" s="72"/>
      <c r="Z16" s="72"/>
      <c r="AA16" s="72"/>
      <c r="AB16" s="38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195"/>
      <c r="AN16" s="108" t="s">
        <v>30</v>
      </c>
      <c r="AO16" s="130">
        <f>C12</f>
        <v>30</v>
      </c>
      <c r="AP16" s="131">
        <f>ROUND(IF(AT12&lt;AT13,1/SIN(AP14)*SQRT(1-(AT12*AT12)/(AT13*AT13)),1/SIN(AP14)*SQRT((AT12*AT12)/(AT13*AT13)-1)*(-1)),3)</f>
        <v>0.52100000000000002</v>
      </c>
      <c r="AQ16" s="38"/>
      <c r="AR16" s="108" t="s">
        <v>143</v>
      </c>
      <c r="AS16" s="38" t="s">
        <v>13</v>
      </c>
      <c r="AT16" s="132">
        <f>IF(AO16&lt;30,ROUND(AP16+0.1,3),ROUND(AP16,3))</f>
        <v>0.52100000000000002</v>
      </c>
      <c r="AU16" s="38"/>
      <c r="AV16" s="38"/>
      <c r="AW16" s="38"/>
      <c r="AX16" s="191"/>
      <c r="AY16" s="38"/>
      <c r="AZ16" s="67"/>
      <c r="BA16" s="67"/>
      <c r="BB16" s="67"/>
      <c r="BC16" s="67"/>
      <c r="BD16" s="67"/>
      <c r="BE16" s="38"/>
      <c r="BF16" s="38"/>
      <c r="BG16" s="38"/>
      <c r="BH16" s="38"/>
      <c r="BI16" s="38"/>
      <c r="BJ16" s="38"/>
      <c r="BK16" s="38"/>
      <c r="BL16" s="73"/>
      <c r="BM16" s="67"/>
      <c r="BN16" s="67"/>
      <c r="BO16" s="67"/>
      <c r="BP16" s="67"/>
      <c r="BQ16" s="67"/>
      <c r="BR16" s="137"/>
      <c r="BS16" s="67"/>
      <c r="BT16" s="73"/>
      <c r="BU16" s="93"/>
      <c r="BV16" s="67"/>
    </row>
    <row r="17" spans="1:74" x14ac:dyDescent="0.2">
      <c r="A17" s="313"/>
      <c r="B17" s="83"/>
      <c r="C17" s="38"/>
      <c r="D17" s="83"/>
      <c r="E17" s="67"/>
      <c r="F17" s="67"/>
      <c r="G17" s="67"/>
      <c r="H17" s="67"/>
      <c r="I17" s="67"/>
      <c r="J17" s="67"/>
      <c r="K17" s="67"/>
      <c r="L17" s="67"/>
      <c r="M17" s="313"/>
      <c r="N17" s="317" t="s">
        <v>154</v>
      </c>
      <c r="O17" s="317" t="str">
        <f>AR6</f>
        <v>stark</v>
      </c>
      <c r="P17" s="313" t="str">
        <f>AT6</f>
        <v>torische Hornhaut</v>
      </c>
      <c r="Q17" s="313"/>
      <c r="R17" s="313"/>
      <c r="S17" s="313"/>
      <c r="T17" s="310"/>
      <c r="U17" s="310"/>
      <c r="V17" s="72"/>
      <c r="W17" s="72"/>
      <c r="X17" s="72"/>
      <c r="Y17" s="72"/>
      <c r="Z17" s="72"/>
      <c r="AA17" s="72"/>
      <c r="AB17" s="38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195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191"/>
      <c r="AY17" s="69"/>
      <c r="AZ17" s="67"/>
      <c r="BA17" s="67"/>
      <c r="BB17" s="67"/>
      <c r="BC17" s="67"/>
      <c r="BD17" s="67"/>
      <c r="BE17" s="38"/>
      <c r="BF17" s="38"/>
      <c r="BG17" s="38"/>
      <c r="BH17" s="38"/>
      <c r="BI17" s="38"/>
      <c r="BJ17" s="38"/>
      <c r="BK17" s="38"/>
      <c r="BL17" s="73"/>
      <c r="BM17" s="67"/>
      <c r="BN17" s="67"/>
      <c r="BO17" s="67"/>
      <c r="BP17" s="67"/>
      <c r="BQ17" s="67"/>
      <c r="BR17" s="137"/>
      <c r="BS17" s="67"/>
      <c r="BT17" s="73"/>
      <c r="BU17" s="93"/>
      <c r="BV17" s="67"/>
    </row>
    <row r="18" spans="1:74" x14ac:dyDescent="0.2">
      <c r="A18" s="313"/>
      <c r="B18" s="74" t="s">
        <v>132</v>
      </c>
      <c r="C18" s="69"/>
      <c r="D18" s="83"/>
      <c r="E18" s="67"/>
      <c r="F18" s="67"/>
      <c r="G18" s="67"/>
      <c r="H18" s="67"/>
      <c r="I18" s="67"/>
      <c r="J18" s="67"/>
      <c r="K18" s="67"/>
      <c r="L18" s="67"/>
      <c r="M18" s="313"/>
      <c r="N18" s="311" t="s">
        <v>137</v>
      </c>
      <c r="O18" s="312">
        <f>AT7</f>
        <v>-3.5999999999999979</v>
      </c>
      <c r="P18" s="313">
        <f>AU7</f>
        <v>0</v>
      </c>
      <c r="Q18" s="313"/>
      <c r="R18" s="313" t="s">
        <v>4</v>
      </c>
      <c r="S18" s="313"/>
      <c r="T18" s="310"/>
      <c r="U18" s="310"/>
      <c r="V18" s="72"/>
      <c r="W18" s="72"/>
      <c r="X18" s="72"/>
      <c r="Y18" s="72"/>
      <c r="Z18" s="72"/>
      <c r="AA18" s="72"/>
      <c r="AB18" s="38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195"/>
      <c r="AN18" s="93" t="s">
        <v>158</v>
      </c>
      <c r="AO18" s="67"/>
      <c r="AP18" s="67"/>
      <c r="AQ18" s="67"/>
      <c r="AR18" s="67"/>
      <c r="AS18" s="89"/>
      <c r="AT18" s="67"/>
      <c r="AU18" s="67"/>
      <c r="AV18" s="67"/>
      <c r="AW18" s="67"/>
      <c r="AX18" s="195"/>
      <c r="AY18" s="139" t="s">
        <v>2</v>
      </c>
      <c r="AZ18" s="38"/>
      <c r="BA18" s="38"/>
      <c r="BB18" s="38"/>
      <c r="BC18" s="38"/>
      <c r="BD18" s="67"/>
      <c r="BE18" s="38"/>
      <c r="BF18" s="38"/>
      <c r="BG18" s="38"/>
      <c r="BH18" s="38"/>
      <c r="BI18" s="38"/>
      <c r="BJ18" s="38"/>
      <c r="BK18" s="38"/>
      <c r="BL18" s="73"/>
      <c r="BM18" s="67"/>
      <c r="BN18" s="67"/>
      <c r="BO18" s="67"/>
      <c r="BP18" s="67"/>
      <c r="BQ18" s="67"/>
      <c r="BR18" s="67"/>
      <c r="BS18" s="67"/>
      <c r="BT18" s="67"/>
      <c r="BU18" s="67"/>
      <c r="BV18" s="67"/>
    </row>
    <row r="19" spans="1:74" ht="16.5" customHeight="1" x14ac:dyDescent="0.3">
      <c r="A19" s="313"/>
      <c r="B19" s="83" t="s">
        <v>38</v>
      </c>
      <c r="C19" s="209">
        <v>10</v>
      </c>
      <c r="D19" s="83" t="s">
        <v>1</v>
      </c>
      <c r="E19" s="67"/>
      <c r="F19" s="67"/>
      <c r="G19" s="108" t="s">
        <v>144</v>
      </c>
      <c r="H19" s="100" t="s">
        <v>13</v>
      </c>
      <c r="I19" s="132">
        <f>AT15</f>
        <v>0.48499999999999999</v>
      </c>
      <c r="J19" s="67"/>
      <c r="K19" s="67"/>
      <c r="L19" s="67"/>
      <c r="M19" s="313"/>
      <c r="N19" s="311" t="s">
        <v>138</v>
      </c>
      <c r="O19" s="312">
        <f>AP8</f>
        <v>-2.4393272778881632</v>
      </c>
      <c r="P19" s="313">
        <f>AQ8</f>
        <v>0</v>
      </c>
      <c r="Q19" s="313"/>
      <c r="R19" s="313" t="s">
        <v>4</v>
      </c>
      <c r="S19" s="313"/>
      <c r="T19" s="310"/>
      <c r="U19" s="310"/>
      <c r="V19" s="72"/>
      <c r="W19" s="72"/>
      <c r="X19" s="72"/>
      <c r="Y19" s="72"/>
      <c r="Z19" s="72"/>
      <c r="AA19" s="72"/>
      <c r="AB19" s="38"/>
      <c r="AC19" s="67"/>
      <c r="AD19" s="38"/>
      <c r="AE19" s="38"/>
      <c r="AF19" s="38"/>
      <c r="AG19" s="38"/>
      <c r="AH19" s="38"/>
      <c r="AI19" s="38"/>
      <c r="AJ19" s="38"/>
      <c r="AK19" s="38"/>
      <c r="AL19" s="38"/>
      <c r="AM19" s="191"/>
      <c r="AN19" s="108" t="s">
        <v>144</v>
      </c>
      <c r="AO19" s="67" t="s">
        <v>13</v>
      </c>
      <c r="AP19" s="132">
        <f>AT15</f>
        <v>0.48499999999999999</v>
      </c>
      <c r="AQ19" s="140" t="s">
        <v>47</v>
      </c>
      <c r="AR19" s="67"/>
      <c r="AS19" s="89" t="str">
        <f>IF(AP15&lt;0.3,IF(AP15&lt;0,"versteilende Hornhaut","geringe HH-Abflachung"),IF(AP15&gt;0.7,"starke Abflachung /Keratokonus?","normale HH-Abflachung"))</f>
        <v>normale HH-Abflachung</v>
      </c>
      <c r="AT19" s="67"/>
      <c r="AU19" s="67"/>
      <c r="AV19" s="67"/>
      <c r="AW19" s="67"/>
      <c r="AX19" s="191"/>
      <c r="AY19" s="69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73"/>
      <c r="BM19" s="67"/>
      <c r="BN19" s="67"/>
      <c r="BO19" s="67"/>
      <c r="BP19" s="93"/>
      <c r="BQ19" s="141"/>
      <c r="BR19" s="142"/>
      <c r="BS19" s="67"/>
      <c r="BT19" s="73"/>
      <c r="BU19" s="143"/>
      <c r="BV19" s="67"/>
    </row>
    <row r="20" spans="1:74" ht="14.25" customHeight="1" x14ac:dyDescent="0.3">
      <c r="A20" s="313"/>
      <c r="B20" s="83" t="s">
        <v>129</v>
      </c>
      <c r="C20" s="210">
        <v>12</v>
      </c>
      <c r="D20" s="83" t="s">
        <v>1</v>
      </c>
      <c r="E20" s="67"/>
      <c r="F20" s="67"/>
      <c r="G20" s="108" t="s">
        <v>143</v>
      </c>
      <c r="H20" s="100" t="s">
        <v>13</v>
      </c>
      <c r="I20" s="132">
        <f>AT16</f>
        <v>0.52100000000000002</v>
      </c>
      <c r="J20" s="67"/>
      <c r="K20" s="67"/>
      <c r="L20" s="67"/>
      <c r="M20" s="313"/>
      <c r="N20" s="318" t="s">
        <v>139</v>
      </c>
      <c r="O20" s="312">
        <f>AT8</f>
        <v>1.1606727221118347</v>
      </c>
      <c r="P20" s="313">
        <f>AU8</f>
        <v>0</v>
      </c>
      <c r="Q20" s="313"/>
      <c r="R20" s="313" t="s">
        <v>4</v>
      </c>
      <c r="S20" s="313"/>
      <c r="T20" s="310"/>
      <c r="U20" s="310"/>
      <c r="V20" s="72"/>
      <c r="W20" s="72"/>
      <c r="X20" s="72"/>
      <c r="Y20" s="72"/>
      <c r="Z20" s="72"/>
      <c r="AA20" s="72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191"/>
      <c r="AN20" s="108" t="s">
        <v>28</v>
      </c>
      <c r="AO20" s="67" t="s">
        <v>13</v>
      </c>
      <c r="AP20" s="100">
        <f>IF(AT15&gt;=0.3,((INT(AT15*10))+1)/10,IF(AT15&lt;(-0.299),(INT(AT15*10)+1)/10,0))</f>
        <v>0.5</v>
      </c>
      <c r="AQ20" s="140" t="s">
        <v>47</v>
      </c>
      <c r="AR20" s="67"/>
      <c r="AS20" s="89" t="s">
        <v>35</v>
      </c>
      <c r="AT20" s="67"/>
      <c r="AU20" s="89" t="str">
        <f>IF(AP15&lt;0.3,IF(AP15&lt;(-0.299),"oblonge Geometrie","sphärische Geometrie"),"asphärische Geometrie")</f>
        <v>asphärische Geometrie</v>
      </c>
      <c r="AV20" s="67"/>
      <c r="AW20" s="67"/>
      <c r="AX20" s="195"/>
      <c r="AY20" s="139" t="s">
        <v>2</v>
      </c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73"/>
      <c r="BM20" s="67"/>
      <c r="BN20" s="67"/>
      <c r="BO20" s="67"/>
      <c r="BP20" s="67"/>
      <c r="BQ20" s="67"/>
      <c r="BR20" s="67"/>
      <c r="BS20" s="67"/>
      <c r="BT20" s="67"/>
      <c r="BU20" s="67"/>
      <c r="BV20" s="67"/>
    </row>
    <row r="21" spans="1:74" x14ac:dyDescent="0.2">
      <c r="A21" s="313"/>
      <c r="B21" s="83" t="s">
        <v>130</v>
      </c>
      <c r="C21" s="211">
        <v>10.9</v>
      </c>
      <c r="D21" s="83" t="s">
        <v>1</v>
      </c>
      <c r="E21" s="67"/>
      <c r="F21" s="67"/>
      <c r="G21" s="108" t="s">
        <v>190</v>
      </c>
      <c r="H21" s="99" t="s">
        <v>189</v>
      </c>
      <c r="I21" s="67" t="str">
        <f>AQ29</f>
        <v>Steilanpassung  (RS-Linse)</v>
      </c>
      <c r="J21" s="67"/>
      <c r="K21" s="67"/>
      <c r="L21" s="67"/>
      <c r="M21" s="313"/>
      <c r="N21" s="317" t="s">
        <v>140</v>
      </c>
      <c r="O21" s="313" t="str">
        <f>AU9</f>
        <v>RT - rücktorische HL / BTX</v>
      </c>
      <c r="P21" s="313"/>
      <c r="Q21" s="313"/>
      <c r="R21" s="313"/>
      <c r="S21" s="313"/>
      <c r="T21" s="313"/>
      <c r="U21" s="311" t="str">
        <f>IF(AU9="RT-rücktorische HL",IF(O20=O18/3,"(RT-Vollkorrektion)","(BTX)"),IF(AU9="torische Weichlinse",IF(ABS(C5)&lt;3,"(Standard)","(individuell)"),""))</f>
        <v/>
      </c>
      <c r="V21" s="72"/>
      <c r="W21" s="72"/>
      <c r="X21" s="72"/>
      <c r="Y21" s="72"/>
      <c r="Z21" s="72"/>
      <c r="AA21" s="72"/>
      <c r="AB21" s="38"/>
      <c r="AC21" s="38"/>
      <c r="AD21" s="67"/>
      <c r="AE21" s="67"/>
      <c r="AF21" s="67"/>
      <c r="AG21" s="67"/>
      <c r="AH21" s="67"/>
      <c r="AI21" s="67"/>
      <c r="AJ21" s="67"/>
      <c r="AK21" s="67"/>
      <c r="AL21" s="67"/>
      <c r="AM21" s="195"/>
      <c r="AN21" s="93"/>
      <c r="AO21" s="67"/>
      <c r="AP21" s="67"/>
      <c r="AQ21" s="67"/>
      <c r="AR21" s="67"/>
      <c r="AS21" s="67"/>
      <c r="AT21" s="67"/>
      <c r="AU21" s="67"/>
      <c r="AV21" s="67"/>
      <c r="AW21" s="67"/>
      <c r="AX21" s="195"/>
      <c r="AY21" s="139" t="s">
        <v>2</v>
      </c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73"/>
      <c r="BM21" s="67"/>
      <c r="BN21" s="67"/>
      <c r="BO21" s="67"/>
      <c r="BP21" s="67"/>
      <c r="BQ21" s="67"/>
      <c r="BR21" s="67"/>
      <c r="BS21" s="67"/>
      <c r="BT21" s="67"/>
      <c r="BU21" s="67"/>
      <c r="BV21" s="67"/>
    </row>
    <row r="22" spans="1:74" ht="18.75" x14ac:dyDescent="0.3">
      <c r="A22" s="313"/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5" t="s">
        <v>186</v>
      </c>
      <c r="O22" s="319">
        <f>AT15</f>
        <v>0.48499999999999999</v>
      </c>
      <c r="P22" s="320" t="s">
        <v>47</v>
      </c>
      <c r="Q22" s="320"/>
      <c r="R22" s="313" t="str">
        <f>AS19</f>
        <v>normale HH-Abflachung</v>
      </c>
      <c r="S22" s="313"/>
      <c r="T22" s="310"/>
      <c r="U22" s="310"/>
      <c r="V22" s="38"/>
      <c r="W22" s="38"/>
      <c r="X22" s="38"/>
      <c r="Y22" s="38"/>
      <c r="Z22" s="38"/>
      <c r="AA22" s="38"/>
      <c r="AB22" s="38"/>
      <c r="AC22" s="38"/>
      <c r="AD22" s="67"/>
      <c r="AE22" s="67"/>
      <c r="AF22" s="67"/>
      <c r="AG22" s="67"/>
      <c r="AH22" s="67"/>
      <c r="AI22" s="67"/>
      <c r="AJ22" s="67"/>
      <c r="AK22" s="67"/>
      <c r="AL22" s="67"/>
      <c r="AM22" s="195"/>
      <c r="AN22" s="93" t="s">
        <v>159</v>
      </c>
      <c r="AO22" s="67"/>
      <c r="AP22" s="67"/>
      <c r="AQ22" s="67"/>
      <c r="AR22" s="67"/>
      <c r="AS22" s="67"/>
      <c r="AT22" s="67"/>
      <c r="AU22" s="67"/>
      <c r="AV22" s="67"/>
      <c r="AW22" s="67"/>
      <c r="AX22" s="195"/>
      <c r="AY22" s="69" t="s">
        <v>2</v>
      </c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73"/>
      <c r="BM22" s="67"/>
      <c r="BN22" s="93"/>
      <c r="BO22" s="67"/>
      <c r="BP22" s="67"/>
      <c r="BQ22" s="67"/>
      <c r="BR22" s="145"/>
      <c r="BS22" s="73"/>
      <c r="BT22" s="67"/>
      <c r="BU22" s="67"/>
      <c r="BV22" s="67"/>
    </row>
    <row r="23" spans="1:74" ht="18.75" x14ac:dyDescent="0.3">
      <c r="A23" s="38"/>
      <c r="B23" s="78" t="s">
        <v>149</v>
      </c>
      <c r="C23" s="67"/>
      <c r="D23" s="38"/>
      <c r="E23" s="73"/>
      <c r="F23" s="67"/>
      <c r="G23" s="67"/>
      <c r="H23" s="67"/>
      <c r="I23" s="67"/>
      <c r="J23" s="67"/>
      <c r="K23" s="67"/>
      <c r="L23" s="67"/>
      <c r="M23" s="38"/>
      <c r="N23" s="315" t="s">
        <v>187</v>
      </c>
      <c r="O23" s="319">
        <f>AT16</f>
        <v>0.52100000000000002</v>
      </c>
      <c r="P23" s="320" t="s">
        <v>47</v>
      </c>
      <c r="Q23" s="320"/>
      <c r="R23" s="313" t="str">
        <f>AQ29</f>
        <v>Steilanpassung  (RS-Linse)</v>
      </c>
      <c r="S23" s="313"/>
      <c r="T23" s="310"/>
      <c r="U23" s="310"/>
      <c r="V23" s="38"/>
      <c r="W23" s="38"/>
      <c r="X23" s="38"/>
      <c r="Y23" s="38"/>
      <c r="Z23" s="38"/>
      <c r="AA23" s="38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195"/>
      <c r="AN23" s="108" t="s">
        <v>145</v>
      </c>
      <c r="AO23" s="67" t="s">
        <v>13</v>
      </c>
      <c r="AP23" s="132">
        <f>AT16</f>
        <v>0.52100000000000002</v>
      </c>
      <c r="AQ23" s="67"/>
      <c r="AR23" s="67"/>
      <c r="AS23" s="108" t="s">
        <v>28</v>
      </c>
      <c r="AT23" s="67" t="s">
        <v>13</v>
      </c>
      <c r="AU23" s="89">
        <f>AP20</f>
        <v>0.5</v>
      </c>
      <c r="AV23" s="73" t="s">
        <v>156</v>
      </c>
      <c r="AW23" s="146">
        <f>IF(AU23=0,0,AU23*10)</f>
        <v>5</v>
      </c>
      <c r="AX23" s="195"/>
      <c r="AY23" s="69" t="s">
        <v>2</v>
      </c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73"/>
      <c r="BM23" s="67"/>
      <c r="BN23" s="67"/>
      <c r="BO23" s="67"/>
      <c r="BP23" s="67"/>
      <c r="BQ23" s="67"/>
      <c r="BR23" s="67"/>
      <c r="BS23" s="73"/>
      <c r="BT23" s="67"/>
      <c r="BU23" s="67"/>
      <c r="BV23" s="67"/>
    </row>
    <row r="24" spans="1:74" x14ac:dyDescent="0.2">
      <c r="A24" s="38"/>
      <c r="B24" s="212" t="s">
        <v>3</v>
      </c>
      <c r="C24" s="213">
        <f>AW23</f>
        <v>5</v>
      </c>
      <c r="D24" s="214" t="s">
        <v>95</v>
      </c>
      <c r="E24" s="215">
        <f>AT30</f>
        <v>7.95</v>
      </c>
      <c r="F24" s="213" t="s">
        <v>147</v>
      </c>
      <c r="G24" s="215">
        <f>AV30</f>
        <v>-3</v>
      </c>
      <c r="H24" s="216">
        <f>O28</f>
        <v>9.4</v>
      </c>
      <c r="I24" s="217" t="s">
        <v>96</v>
      </c>
      <c r="J24" s="67"/>
      <c r="K24" s="72"/>
      <c r="L24" s="67"/>
      <c r="M24" s="67"/>
      <c r="N24" s="315"/>
      <c r="O24" s="319"/>
      <c r="P24" s="320"/>
      <c r="Q24" s="320"/>
      <c r="R24" s="313"/>
      <c r="S24" s="313"/>
      <c r="T24" s="310"/>
      <c r="U24" s="310"/>
      <c r="V24" s="67"/>
      <c r="W24" s="67"/>
      <c r="X24" s="67"/>
      <c r="Y24" s="67"/>
      <c r="Z24" s="67"/>
      <c r="AA24" s="67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95"/>
      <c r="AN24" s="38"/>
      <c r="AO24" s="119"/>
      <c r="AP24" s="38" t="s">
        <v>2</v>
      </c>
      <c r="AQ24" s="38"/>
      <c r="AR24" s="67"/>
      <c r="AS24" s="108" t="str">
        <f>IF(AU23&lt;&gt;0,"ro (Gleichlauf)","ro (Parallel)")</f>
        <v>ro (Gleichlauf)</v>
      </c>
      <c r="AT24" s="67" t="s">
        <v>13</v>
      </c>
      <c r="AU24" s="147">
        <f>IF(AU20="asphärische Geometrie",AT12-(AP20-AT16)*0.7,IF(AU20="oblonge Geometrie",AT12-(AP20-AT16)*0.7,AT12))</f>
        <v>8.1246999999999989</v>
      </c>
      <c r="AV24" s="119" t="s">
        <v>1</v>
      </c>
      <c r="AW24" s="237">
        <f>MROUND(AU24,0.05)</f>
        <v>8.1</v>
      </c>
      <c r="AX24" s="195"/>
      <c r="AY24" s="69" t="s">
        <v>2</v>
      </c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73"/>
      <c r="BM24" s="67"/>
      <c r="BN24" s="67"/>
      <c r="BO24" s="67"/>
      <c r="BP24" s="67"/>
      <c r="BQ24" s="67"/>
      <c r="BR24" s="145"/>
      <c r="BS24" s="73"/>
      <c r="BT24" s="67"/>
      <c r="BU24" s="67"/>
      <c r="BV24" s="67"/>
    </row>
    <row r="25" spans="1:74" x14ac:dyDescent="0.2">
      <c r="A25" s="38"/>
      <c r="B25" s="218" t="s">
        <v>192</v>
      </c>
      <c r="C25" s="219">
        <f>AP31</f>
        <v>6</v>
      </c>
      <c r="D25" s="220" t="s">
        <v>95</v>
      </c>
      <c r="E25" s="221">
        <f>AT31</f>
        <v>7.9</v>
      </c>
      <c r="F25" s="219" t="s">
        <v>147</v>
      </c>
      <c r="G25" s="221">
        <f>AV31</f>
        <v>-3.25</v>
      </c>
      <c r="H25" s="222">
        <f>O28</f>
        <v>9.4</v>
      </c>
      <c r="I25" s="223" t="s">
        <v>96</v>
      </c>
      <c r="J25" s="119"/>
      <c r="K25" s="72"/>
      <c r="L25" s="67"/>
      <c r="M25" s="67"/>
      <c r="N25" s="317"/>
      <c r="O25" s="313"/>
      <c r="P25" s="313"/>
      <c r="Q25" s="313"/>
      <c r="R25" s="313"/>
      <c r="S25" s="313"/>
      <c r="T25" s="310"/>
      <c r="U25" s="310"/>
      <c r="V25" s="103"/>
      <c r="W25" s="103"/>
      <c r="X25" s="103"/>
      <c r="Y25" s="103"/>
      <c r="Z25" s="103"/>
      <c r="AA25" s="103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195"/>
      <c r="AN25" s="93" t="s">
        <v>160</v>
      </c>
      <c r="AO25" s="67"/>
      <c r="AP25" s="148"/>
      <c r="AQ25" s="67"/>
      <c r="AR25" s="67"/>
      <c r="AS25" s="73" t="str">
        <f>IF(C19&lt;9,"kleine",IF(C19&gt;11,"große","normale"))</f>
        <v>normale</v>
      </c>
      <c r="AT25" s="67" t="s">
        <v>66</v>
      </c>
      <c r="AU25" s="38"/>
      <c r="AV25" s="67"/>
      <c r="AW25" s="67"/>
      <c r="AX25" s="195"/>
      <c r="AY25" s="69" t="s">
        <v>2</v>
      </c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73"/>
      <c r="BM25" s="67"/>
      <c r="BN25" s="67"/>
      <c r="BO25" s="67"/>
      <c r="BP25" s="67"/>
      <c r="BQ25" s="67"/>
      <c r="BR25" s="67"/>
      <c r="BS25" s="67"/>
      <c r="BT25" s="67"/>
      <c r="BU25" s="67"/>
      <c r="BV25" s="67"/>
    </row>
    <row r="26" spans="1:74" x14ac:dyDescent="0.2">
      <c r="A26" s="38"/>
      <c r="B26" s="78" t="s">
        <v>152</v>
      </c>
      <c r="C26" s="38"/>
      <c r="D26" s="38"/>
      <c r="E26" s="133"/>
      <c r="F26" s="38"/>
      <c r="G26" s="133"/>
      <c r="H26" s="38"/>
      <c r="I26" s="38"/>
      <c r="J26" s="38"/>
      <c r="K26" s="72"/>
      <c r="L26" s="38"/>
      <c r="M26" s="67"/>
      <c r="N26" s="317" t="s">
        <v>141</v>
      </c>
      <c r="O26" s="317" t="str">
        <f>AS25</f>
        <v>normale</v>
      </c>
      <c r="P26" s="313" t="str">
        <f>AT25</f>
        <v>Lidspaltenhöhe</v>
      </c>
      <c r="Q26" s="313"/>
      <c r="R26" s="313"/>
      <c r="S26" s="313"/>
      <c r="T26" s="310"/>
      <c r="U26" s="310"/>
      <c r="V26" s="67"/>
      <c r="W26" s="67"/>
      <c r="X26" s="67"/>
      <c r="Y26" s="67"/>
      <c r="Z26" s="67"/>
      <c r="AA26" s="6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91"/>
      <c r="AN26" s="73" t="s">
        <v>64</v>
      </c>
      <c r="AO26" s="67" t="s">
        <v>13</v>
      </c>
      <c r="AP26" s="137">
        <f>IF(C19&gt;11,C20+2.5,IF(C19&lt;9,C20+1.5,C20+2))</f>
        <v>14</v>
      </c>
      <c r="AQ26" s="67" t="s">
        <v>1</v>
      </c>
      <c r="AR26" s="38"/>
      <c r="AS26" s="38"/>
      <c r="AT26" s="38"/>
      <c r="AU26" s="38"/>
      <c r="AV26" s="38"/>
      <c r="AW26" s="38"/>
      <c r="AX26" s="191"/>
      <c r="AY26" s="69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73"/>
      <c r="BM26" s="67"/>
      <c r="BN26" s="67"/>
      <c r="BO26" s="67"/>
      <c r="BP26" s="67"/>
      <c r="BQ26" s="67"/>
      <c r="BR26" s="145"/>
      <c r="BS26" s="38"/>
      <c r="BT26" s="73"/>
      <c r="BU26" s="108"/>
      <c r="BV26" s="67"/>
    </row>
    <row r="27" spans="1:74" x14ac:dyDescent="0.2">
      <c r="A27" s="38"/>
      <c r="B27" s="224" t="str">
        <f>IF(ABS(C9-C11)&gt;=0.45,"RT AZ","")</f>
        <v>RT AZ</v>
      </c>
      <c r="C27" s="225">
        <f>IF(ABS(C9-C11)&gt;=0.45,C24,"")</f>
        <v>5</v>
      </c>
      <c r="D27" s="226" t="str">
        <f>IF(ABS(C9-C11)&gt;=0.45,"(","")</f>
        <v>(</v>
      </c>
      <c r="E27" s="227">
        <f>IF(ABS(C9-C11)&gt;=0.45,MROUND(AU24,0.05),"")</f>
        <v>8.1</v>
      </c>
      <c r="F27" s="225"/>
      <c r="G27" s="228">
        <f>IF(ABS(C9-C11)&gt;=0.45,MROUND(E27-ABS(C9-C11)*0.8,0.05),"")</f>
        <v>7.6000000000000005</v>
      </c>
      <c r="H27" s="239">
        <f>IF(E27="","",IF(I28&lt;0,MROUND(-I28,0.25)*(-1),MROUND(I28,0.25)))</f>
        <v>-2.5</v>
      </c>
      <c r="I27" s="229" t="str">
        <f>IF(ABS(C9-C11)&gt;=0.45,")","")</f>
        <v>)</v>
      </c>
      <c r="J27" s="38"/>
      <c r="K27" s="72"/>
      <c r="L27" s="38"/>
      <c r="M27" s="67"/>
      <c r="N27" s="311" t="s">
        <v>188</v>
      </c>
      <c r="O27" s="321">
        <f>AP26</f>
        <v>14</v>
      </c>
      <c r="P27" s="310" t="s">
        <v>1</v>
      </c>
      <c r="Q27" s="310"/>
      <c r="R27" s="313"/>
      <c r="S27" s="313"/>
      <c r="T27" s="313"/>
      <c r="U27" s="313"/>
      <c r="V27" s="107"/>
      <c r="W27" s="107"/>
      <c r="X27" s="107"/>
      <c r="Y27" s="107"/>
      <c r="Z27" s="107"/>
      <c r="AA27" s="10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195"/>
      <c r="AN27" s="73" t="s">
        <v>65</v>
      </c>
      <c r="AO27" s="67" t="s">
        <v>13</v>
      </c>
      <c r="AP27" s="137">
        <f>IF(C19&gt;11,C21-1,IF(C19&lt;9,C21-2,C21-1.5))</f>
        <v>9.4</v>
      </c>
      <c r="AQ27" s="67" t="s">
        <v>1</v>
      </c>
      <c r="AR27" s="38"/>
      <c r="AS27" s="38"/>
      <c r="AT27" s="38"/>
      <c r="AU27" s="38"/>
      <c r="AV27" s="38"/>
      <c r="AW27" s="38"/>
      <c r="AX27" s="191"/>
      <c r="AY27" s="69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73"/>
      <c r="BM27" s="67"/>
      <c r="BN27" s="67"/>
      <c r="BO27" s="67"/>
      <c r="BP27" s="67"/>
      <c r="BQ27" s="67"/>
      <c r="BR27" s="67"/>
      <c r="BS27" s="67"/>
      <c r="BT27" s="73"/>
      <c r="BU27" s="108"/>
      <c r="BV27" s="67"/>
    </row>
    <row r="28" spans="1:74" x14ac:dyDescent="0.2">
      <c r="A28" s="38"/>
      <c r="B28" s="138" t="s">
        <v>153</v>
      </c>
      <c r="C28" s="67"/>
      <c r="D28" s="73"/>
      <c r="E28" s="73"/>
      <c r="F28" s="67"/>
      <c r="G28" s="67"/>
      <c r="H28" s="67"/>
      <c r="I28" s="324">
        <f>IF(E27="","",H13*(-1)-(C9-E27)*5)</f>
        <v>-2.4538461538461527</v>
      </c>
      <c r="J28" s="67"/>
      <c r="K28" s="67"/>
      <c r="L28" s="67"/>
      <c r="M28" s="67"/>
      <c r="N28" s="311" t="s">
        <v>175</v>
      </c>
      <c r="O28" s="321">
        <f>AP27</f>
        <v>9.4</v>
      </c>
      <c r="P28" s="310" t="s">
        <v>1</v>
      </c>
      <c r="Q28" s="310"/>
      <c r="R28" s="313"/>
      <c r="S28" s="313"/>
      <c r="T28" s="313"/>
      <c r="U28" s="313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195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191"/>
      <c r="AY28" s="69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73"/>
      <c r="BM28" s="67"/>
      <c r="BN28" s="67"/>
      <c r="BO28" s="67"/>
      <c r="BP28" s="67"/>
      <c r="BQ28" s="67"/>
      <c r="BR28" s="67"/>
      <c r="BS28" s="145"/>
      <c r="BT28" s="73"/>
      <c r="BU28" s="93"/>
      <c r="BV28" s="67"/>
    </row>
    <row r="29" spans="1:74" ht="13.5" thickBot="1" x14ac:dyDescent="0.25">
      <c r="A29" s="38"/>
      <c r="B29" s="78" t="s">
        <v>150</v>
      </c>
      <c r="C29" s="67"/>
      <c r="D29" s="38"/>
      <c r="E29" s="73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313"/>
      <c r="R29" s="313"/>
      <c r="S29" s="313"/>
      <c r="T29" s="67"/>
      <c r="U29" s="67"/>
      <c r="V29" s="67"/>
      <c r="W29" s="67"/>
      <c r="X29" s="67"/>
      <c r="Y29" s="67"/>
      <c r="Z29" s="67"/>
      <c r="AA29" s="67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191"/>
      <c r="AN29" s="93" t="s">
        <v>36</v>
      </c>
      <c r="AO29" s="67"/>
      <c r="AP29" s="67"/>
      <c r="AQ29" s="149" t="str">
        <f>IF(AT14&gt;0.3,IF(AT14&gt;0.4,"Steilanpassung  (RS-Linse)","Tendenz steil (RS-Linse)"),IF(AT14&lt;0.1,"Tendenz flach für RS-Linse",IF(AU23=0,"Parallelanpassung","Gleichlauf")))</f>
        <v>Steilanpassung  (RS-Linse)</v>
      </c>
      <c r="AR29" s="67"/>
      <c r="AS29" s="89" t="s">
        <v>39</v>
      </c>
      <c r="AT29" s="89"/>
      <c r="AU29" s="150">
        <f>IF(AT14&gt;0.3,IF(AT14&gt;0.4,IF(AT14&gt;0.5,-0.15,-0.1),-0.05),IF(AT14&lt;0.1,0.05,0))</f>
        <v>-0.15</v>
      </c>
      <c r="AV29" s="151" t="s">
        <v>1</v>
      </c>
      <c r="AW29" s="38"/>
      <c r="AX29" s="191"/>
      <c r="AY29" s="69" t="s">
        <v>2</v>
      </c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73"/>
      <c r="BM29" s="67"/>
      <c r="BN29" s="67"/>
      <c r="BO29" s="67"/>
      <c r="BP29" s="67"/>
      <c r="BQ29" s="67"/>
      <c r="BR29" s="67"/>
      <c r="BS29" s="67"/>
      <c r="BT29" s="73"/>
      <c r="BU29" s="93"/>
      <c r="BV29" s="67"/>
    </row>
    <row r="30" spans="1:74" x14ac:dyDescent="0.2">
      <c r="A30" s="38"/>
      <c r="B30" s="230" t="str">
        <f>AN33</f>
        <v>tor. Weichlinse</v>
      </c>
      <c r="C30" s="213" t="s">
        <v>155</v>
      </c>
      <c r="D30" s="216">
        <f>AP33</f>
        <v>8.8099999999999987</v>
      </c>
      <c r="E30" s="213" t="s">
        <v>147</v>
      </c>
      <c r="G30" s="231">
        <f>AR33</f>
        <v>-2.5</v>
      </c>
      <c r="H30" s="231">
        <f>AS33</f>
        <v>-2.5</v>
      </c>
      <c r="I30" s="325">
        <f>AT33</f>
        <v>0</v>
      </c>
      <c r="J30" s="213" t="s">
        <v>151</v>
      </c>
      <c r="K30" s="323"/>
      <c r="L30" s="233">
        <f>AV33</f>
        <v>14</v>
      </c>
      <c r="M30" s="217" t="s">
        <v>96</v>
      </c>
      <c r="N30" s="67"/>
      <c r="O30" s="67"/>
      <c r="P30" s="67"/>
      <c r="Q30" s="313"/>
      <c r="R30" s="313"/>
      <c r="S30" s="313"/>
      <c r="T30" s="67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191"/>
      <c r="AN30" s="152" t="s">
        <v>111</v>
      </c>
      <c r="AO30" s="153" t="s">
        <v>3</v>
      </c>
      <c r="AP30" s="154">
        <f>IF(AP20="AZ 0","0",AP20*10)</f>
        <v>5</v>
      </c>
      <c r="AQ30" s="155" t="s">
        <v>45</v>
      </c>
      <c r="AR30" s="156">
        <f>ROUND(AU24,2)+AU29</f>
        <v>7.9699999999999989</v>
      </c>
      <c r="AS30" s="157" t="s">
        <v>157</v>
      </c>
      <c r="AT30" s="156">
        <f>MROUND(AR30,0.05)</f>
        <v>7.95</v>
      </c>
      <c r="AU30" s="157" t="s">
        <v>51</v>
      </c>
      <c r="AV30" s="156">
        <f>IF(AV38&lt;0,MROUND(-AV38,0.25)*(-1),MROUND(AV38,0.25))</f>
        <v>-3</v>
      </c>
      <c r="AW30" s="158" t="s">
        <v>37</v>
      </c>
      <c r="AX30" s="195"/>
      <c r="AY30" s="69" t="s">
        <v>2</v>
      </c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73"/>
      <c r="BM30" s="67"/>
      <c r="BN30" s="67"/>
      <c r="BO30" s="67"/>
      <c r="BP30" s="67"/>
      <c r="BQ30" s="67"/>
      <c r="BR30" s="67"/>
      <c r="BS30" s="67"/>
      <c r="BT30" s="73"/>
      <c r="BU30" s="93"/>
      <c r="BV30" s="67"/>
    </row>
    <row r="31" spans="1:74" ht="13.5" thickBot="1" x14ac:dyDescent="0.25">
      <c r="A31" s="38"/>
      <c r="B31" s="67"/>
      <c r="C31" s="67"/>
      <c r="D31" s="73"/>
      <c r="E31" s="73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313"/>
      <c r="R31" s="313"/>
      <c r="S31" s="313"/>
      <c r="T31" s="67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191"/>
      <c r="AN31" s="159" t="s">
        <v>31</v>
      </c>
      <c r="AO31" s="160" t="s">
        <v>3</v>
      </c>
      <c r="AP31" s="161">
        <f>IF(AP15&lt;=0.3,0,IF(AP30&gt;6,6,AP30+1))</f>
        <v>6</v>
      </c>
      <c r="AQ31" s="162" t="s">
        <v>45</v>
      </c>
      <c r="AR31" s="163">
        <f>IF(AT15&gt;=0.3,AT12-((AP31/10)-AT16)*0.7+AU29,IF(AP30&lt;0,AT12+AU29+AP30*0.07,AT12+AU29))</f>
        <v>7.9046999999999983</v>
      </c>
      <c r="AS31" s="164" t="s">
        <v>157</v>
      </c>
      <c r="AT31" s="163">
        <f>MROUND(AR31,0.05)</f>
        <v>7.9</v>
      </c>
      <c r="AU31" s="164" t="s">
        <v>51</v>
      </c>
      <c r="AV31" s="163">
        <f>IF(AV42&lt;0,MROUND(-AV42,0.25)*(-1),MROUND(AV42,0.25))</f>
        <v>-3.25</v>
      </c>
      <c r="AW31" s="165" t="s">
        <v>37</v>
      </c>
      <c r="AX31" s="195"/>
      <c r="AY31" s="69" t="s">
        <v>2</v>
      </c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73"/>
      <c r="BM31" s="67"/>
      <c r="BN31" s="67"/>
      <c r="BO31" s="67"/>
      <c r="BP31" s="67"/>
      <c r="BQ31" s="67"/>
      <c r="BR31" s="67"/>
      <c r="BS31" s="67"/>
      <c r="BT31" s="73"/>
      <c r="BU31" s="93"/>
      <c r="BV31" s="67"/>
    </row>
    <row r="32" spans="1:74" ht="13.5" thickBot="1" x14ac:dyDescent="0.25">
      <c r="A32" s="38"/>
      <c r="B32" s="6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67"/>
      <c r="O32" s="67"/>
      <c r="P32" s="67"/>
      <c r="Q32" s="313"/>
      <c r="R32" s="313"/>
      <c r="S32" s="313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191"/>
      <c r="AN32" s="69"/>
      <c r="AO32" s="38"/>
      <c r="AP32" s="38"/>
      <c r="AQ32" s="67"/>
      <c r="AR32" s="67"/>
      <c r="AS32" s="38"/>
      <c r="AT32" s="67"/>
      <c r="AU32" s="67"/>
      <c r="AV32" s="100"/>
      <c r="AW32" s="67"/>
      <c r="AX32" s="195"/>
      <c r="AY32" s="69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73"/>
      <c r="BM32" s="67"/>
      <c r="BN32" s="67"/>
      <c r="BO32" s="67"/>
      <c r="BP32" s="67"/>
      <c r="BQ32" s="67"/>
      <c r="BR32" s="67"/>
      <c r="BS32" s="67"/>
      <c r="BT32" s="67"/>
      <c r="BU32" s="67"/>
      <c r="BV32" s="67"/>
    </row>
    <row r="33" spans="1:74" ht="13.5" thickBot="1" x14ac:dyDescent="0.25">
      <c r="A33" s="38"/>
      <c r="B33" s="69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13"/>
      <c r="R33" s="313"/>
      <c r="S33" s="313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191"/>
      <c r="AN33" s="166" t="str">
        <f>IF(AS33="","sph. Weichlinse","tor. Weichlinse")</f>
        <v>tor. Weichlinse</v>
      </c>
      <c r="AO33" s="167" t="s">
        <v>45</v>
      </c>
      <c r="AP33" s="168">
        <f>IF(C19&lt;9,AP12+0.8,(IF(C19&gt;11,AP12+1.2,AP12+1)))</f>
        <v>8.8099999999999987</v>
      </c>
      <c r="AQ33" s="169" t="s">
        <v>54</v>
      </c>
      <c r="AR33" s="170">
        <f>IF((ABS(AS36)&lt;=0.5),IF(AV35&lt;0,MROUND(-AV35,0.25)*(-1),MROUND(AV35,0.25)),IF(AQ36&lt;0,MROUND(-AQ36,0.25)*(-1),MROUND(AQ36,0.25)))</f>
        <v>-2.5</v>
      </c>
      <c r="AS33" s="171">
        <f>IF((ABS(AS36)&lt;=0.5),"",IF(AS36&lt;0,MROUND(-AS36,0.25)*(-1),MROUND(AS36,0.25)))</f>
        <v>-2.5</v>
      </c>
      <c r="AT33" s="172">
        <f>IF(ABS(AS36)&lt;=0.5,"",MROUND(AU36,10))</f>
        <v>0</v>
      </c>
      <c r="AU33" s="173" t="s">
        <v>55</v>
      </c>
      <c r="AV33" s="168">
        <f>IF(C19&lt;9,C20+1.5,(IF(C19&gt;11,C20+2.5,C20+2)))</f>
        <v>14</v>
      </c>
      <c r="AW33" s="174" t="s">
        <v>1</v>
      </c>
      <c r="AX33" s="191"/>
      <c r="AY33" s="69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73"/>
      <c r="BM33" s="67"/>
      <c r="BN33" s="93"/>
      <c r="BO33" s="67"/>
      <c r="BP33" s="67"/>
      <c r="BQ33" s="67"/>
      <c r="BR33" s="67"/>
      <c r="BS33" s="67"/>
      <c r="BT33" s="67"/>
      <c r="BU33" s="67"/>
      <c r="BV33" s="67"/>
    </row>
    <row r="34" spans="1:74" x14ac:dyDescent="0.2">
      <c r="A34" s="38"/>
      <c r="B34" s="6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191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191"/>
      <c r="AY34" s="69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73"/>
      <c r="BM34" s="67"/>
      <c r="BN34" s="67"/>
      <c r="BO34" s="67"/>
      <c r="BP34" s="67"/>
      <c r="BQ34" s="67"/>
      <c r="BR34" s="67"/>
      <c r="BS34" s="67"/>
      <c r="BT34" s="67"/>
      <c r="BU34" s="67"/>
      <c r="BV34" s="67"/>
    </row>
    <row r="35" spans="1:74" x14ac:dyDescent="0.2">
      <c r="A35" s="38"/>
      <c r="B35" s="69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191"/>
      <c r="AN35" s="175" t="s">
        <v>67</v>
      </c>
      <c r="AO35" s="176"/>
      <c r="AP35" s="177">
        <f>C7</f>
        <v>16</v>
      </c>
      <c r="AQ35" s="176" t="s">
        <v>68</v>
      </c>
      <c r="AR35" s="176"/>
      <c r="AS35" s="176"/>
      <c r="AT35" s="176"/>
      <c r="AU35" s="178" t="s">
        <v>57</v>
      </c>
      <c r="AV35" s="179">
        <f>AQ36+(AS36/2)</f>
        <v>-3.6235097927902356</v>
      </c>
      <c r="AW35" s="176" t="s">
        <v>37</v>
      </c>
      <c r="AX35" s="191"/>
      <c r="AY35" s="69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73"/>
      <c r="BM35" s="67"/>
      <c r="BN35" s="93"/>
      <c r="BO35" s="67"/>
      <c r="BP35" s="180"/>
      <c r="BQ35" s="181"/>
      <c r="BR35" s="67"/>
      <c r="BS35" s="89"/>
      <c r="BT35" s="67"/>
      <c r="BU35" s="67"/>
      <c r="BV35" s="67"/>
    </row>
    <row r="36" spans="1:74" x14ac:dyDescent="0.2">
      <c r="A36" s="38"/>
      <c r="B36" s="6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191"/>
      <c r="AN36" s="175" t="s">
        <v>113</v>
      </c>
      <c r="AO36" s="176"/>
      <c r="AP36" s="178" t="s">
        <v>61</v>
      </c>
      <c r="AQ36" s="179">
        <f>O11</f>
        <v>-2.4038461538461537</v>
      </c>
      <c r="AR36" s="151" t="s">
        <v>60</v>
      </c>
      <c r="AS36" s="175">
        <f>O12</f>
        <v>-2.4393272778881632</v>
      </c>
      <c r="AT36" s="176" t="s">
        <v>49</v>
      </c>
      <c r="AU36" s="149">
        <f>O13</f>
        <v>0</v>
      </c>
      <c r="AV36" s="151" t="s">
        <v>4</v>
      </c>
      <c r="AW36" s="67"/>
      <c r="AX36" s="195"/>
      <c r="AY36" s="69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73"/>
      <c r="BM36" s="67"/>
      <c r="BN36" s="93"/>
      <c r="BO36" s="67"/>
      <c r="BP36" s="89"/>
      <c r="BQ36" s="67"/>
      <c r="BR36" s="67"/>
      <c r="BS36" s="67"/>
      <c r="BT36" s="67"/>
      <c r="BU36" s="67"/>
      <c r="BV36" s="67"/>
    </row>
    <row r="37" spans="1:74" x14ac:dyDescent="0.2">
      <c r="A37" s="38"/>
      <c r="B37" s="6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191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191"/>
      <c r="AY37" s="69"/>
      <c r="AZ37" s="38" t="s">
        <v>2</v>
      </c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73"/>
      <c r="BM37" s="67"/>
      <c r="BN37" s="67"/>
      <c r="BO37" s="67"/>
      <c r="BP37" s="89"/>
      <c r="BQ37" s="67"/>
      <c r="BR37" s="67"/>
      <c r="BS37" s="67"/>
      <c r="BT37" s="67"/>
      <c r="BU37" s="67"/>
      <c r="BV37" s="67"/>
    </row>
    <row r="38" spans="1:74" x14ac:dyDescent="0.2">
      <c r="A38" s="38"/>
      <c r="B38" s="69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191"/>
      <c r="AN38" s="175" t="s">
        <v>112</v>
      </c>
      <c r="AO38" s="151"/>
      <c r="AP38" s="182" t="s">
        <v>3</v>
      </c>
      <c r="AQ38" s="183">
        <f>AP30</f>
        <v>5</v>
      </c>
      <c r="AR38" s="184" t="s">
        <v>34</v>
      </c>
      <c r="AS38" s="185">
        <f>AT30</f>
        <v>7.95</v>
      </c>
      <c r="AT38" s="151" t="s">
        <v>1</v>
      </c>
      <c r="AU38" s="182" t="s">
        <v>48</v>
      </c>
      <c r="AV38" s="179">
        <f>AP39+(AS39/2)</f>
        <v>-2.9235097927902327</v>
      </c>
      <c r="AW38" s="176" t="s">
        <v>37</v>
      </c>
      <c r="AX38" s="191"/>
      <c r="AY38" s="69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73"/>
      <c r="BM38" s="67"/>
      <c r="BN38" s="93"/>
      <c r="BO38" s="67"/>
      <c r="BP38" s="89"/>
      <c r="BQ38" s="67"/>
      <c r="BR38" s="67"/>
      <c r="BS38" s="89"/>
      <c r="BT38" s="67"/>
      <c r="BU38" s="67"/>
      <c r="BV38" s="67"/>
    </row>
    <row r="39" spans="1:74" x14ac:dyDescent="0.2">
      <c r="A39" s="38"/>
      <c r="B39" s="69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191"/>
      <c r="AN39" s="175" t="s">
        <v>43</v>
      </c>
      <c r="AO39" s="176" t="s">
        <v>50</v>
      </c>
      <c r="AP39" s="175">
        <f>IF(H15&gt;I15,H15,I15)</f>
        <v>-2.643173431734315</v>
      </c>
      <c r="AQ39" s="176" t="s">
        <v>37</v>
      </c>
      <c r="AR39" s="176" t="s">
        <v>42</v>
      </c>
      <c r="AS39" s="175">
        <f>IF(H15&gt;I15,I15-H15,IF(H15&lt;I15,H15-I15,""))</f>
        <v>-0.56067272211183505</v>
      </c>
      <c r="AT39" s="176" t="s">
        <v>37</v>
      </c>
      <c r="AU39" s="178" t="s">
        <v>56</v>
      </c>
      <c r="AV39" s="186">
        <f>IF(H15&gt;I15,O13,IF(H15&lt;I15,T13,""))</f>
        <v>90</v>
      </c>
      <c r="AW39" s="176" t="s">
        <v>4</v>
      </c>
      <c r="AX39" s="195"/>
      <c r="AY39" s="69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73"/>
      <c r="BM39" s="67"/>
      <c r="BN39" s="67"/>
      <c r="BO39" s="67"/>
      <c r="BP39" s="89"/>
      <c r="BQ39" s="67"/>
      <c r="BR39" s="67"/>
      <c r="BS39" s="67"/>
      <c r="BT39" s="67"/>
      <c r="BU39" s="67"/>
      <c r="BV39" s="67"/>
    </row>
    <row r="40" spans="1:74" x14ac:dyDescent="0.2">
      <c r="A40" s="38"/>
      <c r="B40" s="69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191"/>
      <c r="AN40" s="175" t="s">
        <v>58</v>
      </c>
      <c r="AO40" s="176" t="s">
        <v>50</v>
      </c>
      <c r="AP40" s="175">
        <f>IF(AP39&lt;0,(MROUND(-AP39,0.25))*-1,MROUND(AP39,0.25))</f>
        <v>-2.75</v>
      </c>
      <c r="AQ40" s="176" t="s">
        <v>37</v>
      </c>
      <c r="AR40" s="176" t="s">
        <v>42</v>
      </c>
      <c r="AS40" s="175">
        <f>IF(AS39&lt;0,(MROUND(-AS39,0.25))*-1,MROUND(AS39,0.25))</f>
        <v>-0.5</v>
      </c>
      <c r="AT40" s="176" t="s">
        <v>37</v>
      </c>
      <c r="AU40" s="178" t="s">
        <v>56</v>
      </c>
      <c r="AV40" s="186">
        <f>AV39</f>
        <v>90</v>
      </c>
      <c r="AW40" s="176" t="s">
        <v>4</v>
      </c>
      <c r="AX40" s="195"/>
      <c r="AY40" s="69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73"/>
      <c r="BM40" s="67"/>
      <c r="BN40" s="93"/>
      <c r="BO40" s="67"/>
      <c r="BP40" s="180"/>
      <c r="BQ40" s="67"/>
      <c r="BR40" s="67"/>
      <c r="BS40" s="67"/>
      <c r="BT40" s="67"/>
      <c r="BU40" s="67"/>
      <c r="BV40" s="67"/>
    </row>
    <row r="41" spans="1:74" x14ac:dyDescent="0.2">
      <c r="A41" s="38"/>
      <c r="B41" s="69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191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191"/>
      <c r="AY41" s="69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73"/>
      <c r="BM41" s="67"/>
      <c r="BN41" s="93"/>
      <c r="BO41" s="67"/>
      <c r="BP41" s="89"/>
      <c r="BQ41" s="67"/>
      <c r="BR41" s="67"/>
      <c r="BS41" s="67"/>
      <c r="BT41" s="108"/>
      <c r="BU41" s="148"/>
      <c r="BV41" s="67"/>
    </row>
    <row r="42" spans="1:74" x14ac:dyDescent="0.2">
      <c r="A42" s="38"/>
      <c r="B42" s="69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191"/>
      <c r="AN42" s="175" t="s">
        <v>114</v>
      </c>
      <c r="AO42" s="151"/>
      <c r="AP42" s="182" t="s">
        <v>115</v>
      </c>
      <c r="AQ42" s="183">
        <f>AP31</f>
        <v>6</v>
      </c>
      <c r="AR42" s="184" t="s">
        <v>34</v>
      </c>
      <c r="AS42" s="185">
        <f>AT31</f>
        <v>7.9</v>
      </c>
      <c r="AT42" s="151" t="s">
        <v>1</v>
      </c>
      <c r="AU42" s="182" t="s">
        <v>48</v>
      </c>
      <c r="AV42" s="179">
        <f>AV38-((AS38-AS42)*5)</f>
        <v>-3.1735097927902318</v>
      </c>
      <c r="AW42" s="176" t="s">
        <v>37</v>
      </c>
      <c r="AX42" s="200"/>
      <c r="AY42" s="69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73"/>
      <c r="BM42" s="67"/>
      <c r="BN42" s="67"/>
      <c r="BO42" s="67"/>
      <c r="BP42" s="89"/>
      <c r="BQ42" s="67"/>
      <c r="BR42" s="67"/>
      <c r="BS42" s="67"/>
      <c r="BT42" s="73"/>
      <c r="BU42" s="67"/>
      <c r="BV42" s="67"/>
    </row>
    <row r="43" spans="1:74" ht="15" x14ac:dyDescent="0.2">
      <c r="A43" s="38"/>
      <c r="B43" s="69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191"/>
      <c r="AN43" s="151" t="s">
        <v>59</v>
      </c>
      <c r="AO43" s="151" t="s">
        <v>13</v>
      </c>
      <c r="AP43" s="187">
        <f>ABS((AP10+AP11)/2-(AT10+AT11)/2)</f>
        <v>0.69999999999999751</v>
      </c>
      <c r="AQ43" s="150" t="s">
        <v>1</v>
      </c>
      <c r="AR43" s="187"/>
      <c r="AS43" s="188" t="s">
        <v>52</v>
      </c>
      <c r="AT43" s="189"/>
      <c r="AU43" s="185" t="str">
        <f>IF(ABS(C13-C14)&gt;=0.15,IF((C13-C14)&gt;0,"temporal","nasal"),IF(ABS(C13-C14)&gt;=0.15," ","relativ zentral"))</f>
        <v>relativ zentral</v>
      </c>
      <c r="AV43" s="187" t="str">
        <f>IF(ABS(C15-C16)&gt;=0.15,IF((C15-C16)&gt;0," superior"," inferior")," ")</f>
        <v xml:space="preserve"> </v>
      </c>
      <c r="AW43" s="151"/>
      <c r="AX43" s="191"/>
      <c r="AY43" s="69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73"/>
      <c r="BM43" s="67"/>
      <c r="BN43" s="93"/>
      <c r="BO43" s="67"/>
      <c r="BP43" s="89"/>
      <c r="BQ43" s="67"/>
      <c r="BR43" s="67"/>
      <c r="BS43" s="67"/>
      <c r="BT43" s="73"/>
      <c r="BU43" s="67"/>
      <c r="BV43" s="67"/>
    </row>
    <row r="44" spans="1:74" x14ac:dyDescent="0.2">
      <c r="A44" s="38"/>
      <c r="B44" s="69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191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7"/>
      <c r="AY44" s="69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73"/>
      <c r="BM44" s="67"/>
      <c r="BN44" s="67"/>
      <c r="BO44" s="67"/>
      <c r="BP44" s="89"/>
      <c r="BQ44" s="67"/>
      <c r="BR44" s="67"/>
      <c r="BS44" s="67"/>
      <c r="BT44" s="73"/>
      <c r="BU44" s="67"/>
      <c r="BV44" s="67"/>
    </row>
    <row r="45" spans="1:74" x14ac:dyDescent="0.2">
      <c r="A45" s="38"/>
      <c r="B45" s="69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69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73"/>
      <c r="BM45" s="67"/>
      <c r="BN45" s="93"/>
      <c r="BO45" s="67"/>
      <c r="BP45" s="89"/>
      <c r="BQ45" s="67"/>
      <c r="BR45" s="100"/>
      <c r="BS45" s="89"/>
      <c r="BT45" s="73"/>
      <c r="BU45" s="93"/>
      <c r="BV45" s="67"/>
    </row>
    <row r="46" spans="1:74" x14ac:dyDescent="0.2">
      <c r="A46" s="38"/>
      <c r="B46" s="69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69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73"/>
      <c r="BM46" s="67"/>
      <c r="BN46" s="67"/>
      <c r="BO46" s="67"/>
      <c r="BP46" s="67"/>
      <c r="BQ46" s="67"/>
      <c r="BR46" s="100"/>
      <c r="BS46" s="89"/>
      <c r="BT46" s="73"/>
      <c r="BU46" s="93"/>
      <c r="BV46" s="67"/>
    </row>
    <row r="47" spans="1:74" x14ac:dyDescent="0.2">
      <c r="A47" s="38"/>
      <c r="B47" s="6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69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73"/>
      <c r="BM47" s="67"/>
      <c r="BN47" s="67"/>
      <c r="BO47" s="67"/>
      <c r="BP47" s="67"/>
      <c r="BQ47" s="67"/>
      <c r="BR47" s="67"/>
      <c r="BS47" s="67"/>
      <c r="BT47" s="67"/>
      <c r="BU47" s="67"/>
      <c r="BV47" s="67"/>
    </row>
    <row r="48" spans="1:74" x14ac:dyDescent="0.2">
      <c r="A48" s="38"/>
      <c r="B48" s="69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69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73"/>
      <c r="BM48" s="67"/>
      <c r="BN48" s="67"/>
      <c r="BO48" s="67"/>
      <c r="BP48" s="67"/>
      <c r="BQ48" s="93"/>
      <c r="BR48" s="67"/>
      <c r="BS48" s="67"/>
      <c r="BT48" s="67"/>
      <c r="BU48" s="67"/>
      <c r="BV48" s="67"/>
    </row>
    <row r="49" spans="1:74" x14ac:dyDescent="0.2">
      <c r="A49" s="38"/>
      <c r="B49" s="69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69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73"/>
      <c r="BM49" s="67"/>
      <c r="BN49" s="67"/>
      <c r="BO49" s="67"/>
      <c r="BP49" s="67"/>
      <c r="BQ49" s="67"/>
      <c r="BR49" s="67"/>
      <c r="BS49" s="67"/>
      <c r="BT49" s="67"/>
      <c r="BU49" s="67"/>
      <c r="BV49" s="67"/>
    </row>
    <row r="50" spans="1:74" x14ac:dyDescent="0.2">
      <c r="A50" s="38"/>
      <c r="B50" s="6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69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73"/>
      <c r="BM50" s="67"/>
      <c r="BN50" s="67"/>
      <c r="BO50" s="67"/>
      <c r="BP50" s="67"/>
      <c r="BQ50" s="38"/>
      <c r="BR50" s="38"/>
      <c r="BS50" s="108"/>
      <c r="BT50" s="93"/>
      <c r="BU50" s="38"/>
      <c r="BV50" s="38"/>
    </row>
    <row r="51" spans="1:74" x14ac:dyDescent="0.2">
      <c r="A51" s="38"/>
      <c r="B51" s="69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69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73"/>
      <c r="BM51" s="67"/>
      <c r="BN51" s="67"/>
      <c r="BO51" s="67"/>
      <c r="BP51" s="67"/>
      <c r="BQ51" s="67"/>
      <c r="BR51" s="67"/>
      <c r="BS51" s="67"/>
      <c r="BT51" s="67"/>
      <c r="BU51" s="67"/>
      <c r="BV51" s="67"/>
    </row>
    <row r="52" spans="1:74" x14ac:dyDescent="0.2">
      <c r="A52" s="38"/>
      <c r="B52" s="69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69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73"/>
      <c r="BM52" s="67"/>
      <c r="BN52" s="67"/>
      <c r="BO52" s="67"/>
      <c r="BP52" s="67"/>
      <c r="BQ52" s="67"/>
      <c r="BR52" s="67"/>
      <c r="BS52" s="67"/>
      <c r="BT52" s="38"/>
      <c r="BU52" s="67"/>
      <c r="BV52" s="67"/>
    </row>
    <row r="53" spans="1:74" x14ac:dyDescent="0.2">
      <c r="A53" s="38"/>
      <c r="B53" s="69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69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7"/>
      <c r="BM53" s="38"/>
      <c r="BN53" s="67"/>
      <c r="BO53" s="67"/>
      <c r="BP53" s="67"/>
      <c r="BQ53" s="67"/>
      <c r="BR53" s="67"/>
      <c r="BS53" s="67"/>
      <c r="BT53" s="67"/>
      <c r="BU53" s="67"/>
      <c r="BV53" s="67"/>
    </row>
    <row r="54" spans="1:74" x14ac:dyDescent="0.2">
      <c r="A54" s="38"/>
      <c r="B54" s="69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69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7"/>
      <c r="BM54" s="38"/>
      <c r="BN54" s="67"/>
      <c r="BO54" s="67"/>
      <c r="BP54" s="67"/>
      <c r="BQ54" s="67"/>
      <c r="BR54" s="67"/>
      <c r="BS54" s="67"/>
      <c r="BT54" s="67"/>
      <c r="BU54" s="67"/>
      <c r="BV54" s="67"/>
    </row>
    <row r="55" spans="1:74" x14ac:dyDescent="0.2">
      <c r="A55" s="38"/>
      <c r="B55" s="69" t="s">
        <v>2</v>
      </c>
      <c r="C55" s="38"/>
      <c r="D55" s="38"/>
      <c r="E55" s="67"/>
      <c r="F55" s="67"/>
      <c r="G55" s="67"/>
      <c r="H55" s="67"/>
      <c r="I55" s="67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69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7"/>
      <c r="BM55" s="38"/>
      <c r="BN55" s="38"/>
      <c r="BO55" s="38"/>
      <c r="BP55" s="38"/>
      <c r="BQ55" s="38"/>
      <c r="BR55" s="38"/>
      <c r="BS55" s="38"/>
      <c r="BT55" s="38"/>
      <c r="BU55" s="190"/>
      <c r="BV55" s="67"/>
    </row>
    <row r="56" spans="1:74" x14ac:dyDescent="0.2">
      <c r="A56" s="38"/>
      <c r="B56" s="69"/>
      <c r="C56" s="38"/>
      <c r="D56" s="38"/>
      <c r="E56" s="67" t="s">
        <v>2</v>
      </c>
      <c r="F56" s="67"/>
      <c r="G56" s="67"/>
      <c r="H56" s="67"/>
      <c r="I56" s="67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69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</row>
    <row r="57" spans="1:74" x14ac:dyDescent="0.2">
      <c r="A57" s="38"/>
      <c r="B57" s="69"/>
      <c r="C57" s="38"/>
      <c r="D57" s="38"/>
      <c r="E57" s="38" t="s">
        <v>2</v>
      </c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69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</row>
    <row r="58" spans="1:74" x14ac:dyDescent="0.2">
      <c r="A58" s="38"/>
      <c r="B58" s="69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69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</row>
    <row r="59" spans="1:74" x14ac:dyDescent="0.2">
      <c r="A59" s="38"/>
      <c r="B59" s="69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69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</row>
    <row r="60" spans="1:74" x14ac:dyDescent="0.2">
      <c r="A60" s="38"/>
      <c r="B60" s="69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69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</row>
    <row r="61" spans="1:74" x14ac:dyDescent="0.2">
      <c r="A61" s="38"/>
      <c r="B61" s="69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69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</row>
    <row r="62" spans="1:74" x14ac:dyDescent="0.2">
      <c r="A62" s="38"/>
      <c r="B62" s="69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69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</row>
    <row r="63" spans="1:74" x14ac:dyDescent="0.2">
      <c r="A63" s="38"/>
      <c r="B63" s="69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69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</row>
    <row r="64" spans="1:74" x14ac:dyDescent="0.2">
      <c r="A64" s="38"/>
      <c r="B64" s="69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69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</row>
    <row r="65" spans="1:74" x14ac:dyDescent="0.2">
      <c r="A65" s="38"/>
      <c r="B65" s="69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69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</row>
    <row r="66" spans="1:74" x14ac:dyDescent="0.2">
      <c r="A66" s="38"/>
      <c r="B66" s="69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69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</row>
    <row r="67" spans="1:74" x14ac:dyDescent="0.2">
      <c r="A67" s="38"/>
      <c r="B67" s="69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69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</row>
    <row r="68" spans="1:74" x14ac:dyDescent="0.2">
      <c r="A68" s="38"/>
      <c r="B68" s="69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69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</row>
    <row r="69" spans="1:74" x14ac:dyDescent="0.2">
      <c r="A69" s="38"/>
      <c r="B69" s="69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69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</row>
    <row r="70" spans="1:74" x14ac:dyDescent="0.2">
      <c r="A70" s="38"/>
      <c r="B70" s="69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69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</row>
    <row r="71" spans="1:74" x14ac:dyDescent="0.2">
      <c r="A71" s="38"/>
      <c r="B71" s="69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69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</row>
    <row r="72" spans="1:74" x14ac:dyDescent="0.2">
      <c r="A72" s="38"/>
      <c r="B72" s="69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69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</row>
    <row r="73" spans="1:74" x14ac:dyDescent="0.2">
      <c r="A73" s="38"/>
      <c r="B73" s="69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69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</row>
    <row r="74" spans="1:74" x14ac:dyDescent="0.2">
      <c r="A74" s="38"/>
      <c r="B74" s="69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69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</row>
    <row r="75" spans="1:74" x14ac:dyDescent="0.2">
      <c r="A75" s="38"/>
      <c r="B75" s="69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69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</row>
    <row r="76" spans="1:74" x14ac:dyDescent="0.2">
      <c r="A76" s="38"/>
      <c r="B76" s="6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69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</row>
    <row r="77" spans="1:74" x14ac:dyDescent="0.2">
      <c r="A77" s="38"/>
      <c r="B77" s="69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69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</row>
    <row r="78" spans="1:74" x14ac:dyDescent="0.2">
      <c r="A78" s="38"/>
      <c r="B78" s="69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69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</row>
    <row r="79" spans="1:74" x14ac:dyDescent="0.2">
      <c r="A79" s="38"/>
      <c r="B79" s="69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69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</row>
    <row r="80" spans="1:74" x14ac:dyDescent="0.2">
      <c r="A80" s="38"/>
      <c r="B80" s="69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69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</row>
    <row r="81" spans="1:74" x14ac:dyDescent="0.2">
      <c r="A81" s="38"/>
      <c r="B81" s="69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69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</row>
    <row r="82" spans="1:74" x14ac:dyDescent="0.2">
      <c r="A82" s="38"/>
      <c r="B82" s="69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69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</row>
    <row r="83" spans="1:74" x14ac:dyDescent="0.2">
      <c r="A83" s="38"/>
      <c r="B83" s="6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69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</row>
    <row r="84" spans="1:74" x14ac:dyDescent="0.2">
      <c r="A84" s="38"/>
      <c r="B84" s="69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69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</row>
    <row r="85" spans="1:74" x14ac:dyDescent="0.2">
      <c r="A85" s="38"/>
      <c r="B85" s="69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69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</row>
    <row r="86" spans="1:74" x14ac:dyDescent="0.2">
      <c r="A86" s="38"/>
      <c r="B86" s="6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69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</row>
    <row r="87" spans="1:74" x14ac:dyDescent="0.2">
      <c r="A87" s="38"/>
      <c r="B87" s="69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69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</row>
    <row r="88" spans="1:74" x14ac:dyDescent="0.2">
      <c r="A88" s="38"/>
      <c r="B88" s="6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69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</row>
    <row r="89" spans="1:74" x14ac:dyDescent="0.2">
      <c r="A89" s="38"/>
      <c r="B89" s="69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69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</row>
    <row r="90" spans="1:74" x14ac:dyDescent="0.2">
      <c r="A90" s="38"/>
      <c r="B90" s="69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69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</row>
    <row r="91" spans="1:74" x14ac:dyDescent="0.2">
      <c r="A91" s="38"/>
      <c r="B91" s="6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69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</row>
    <row r="92" spans="1:74" x14ac:dyDescent="0.2">
      <c r="A92" s="38"/>
      <c r="B92" s="69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69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</row>
    <row r="93" spans="1:74" x14ac:dyDescent="0.2">
      <c r="A93" s="38"/>
      <c r="B93" s="6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69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</row>
    <row r="94" spans="1:74" x14ac:dyDescent="0.2">
      <c r="A94" s="38"/>
      <c r="B94" s="69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69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</row>
    <row r="95" spans="1:74" x14ac:dyDescent="0.2">
      <c r="A95" s="38"/>
      <c r="B95" s="69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69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</row>
    <row r="96" spans="1:74" x14ac:dyDescent="0.2">
      <c r="A96" s="38"/>
      <c r="B96" s="69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69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</row>
    <row r="97" spans="1:74" x14ac:dyDescent="0.2">
      <c r="A97" s="38"/>
      <c r="B97" s="69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69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</row>
    <row r="98" spans="1:74" x14ac:dyDescent="0.2">
      <c r="A98" s="38"/>
      <c r="B98" s="69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69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</row>
    <row r="99" spans="1:74" x14ac:dyDescent="0.2">
      <c r="A99" s="38"/>
      <c r="B99" s="69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69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</row>
    <row r="100" spans="1:74" x14ac:dyDescent="0.2">
      <c r="A100" s="38"/>
      <c r="B100" s="69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69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</row>
    <row r="101" spans="1:74" x14ac:dyDescent="0.2">
      <c r="A101" s="38"/>
      <c r="B101" s="69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69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</row>
    <row r="102" spans="1:74" x14ac:dyDescent="0.2">
      <c r="A102" s="38"/>
      <c r="B102" s="6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69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</row>
    <row r="103" spans="1:74" x14ac:dyDescent="0.2">
      <c r="A103" s="38"/>
      <c r="B103" s="69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69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</row>
    <row r="104" spans="1:74" x14ac:dyDescent="0.2">
      <c r="A104" s="38"/>
      <c r="B104" s="69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69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</row>
    <row r="105" spans="1:74" x14ac:dyDescent="0.2">
      <c r="A105" s="38"/>
      <c r="B105" s="69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69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</row>
    <row r="106" spans="1:74" x14ac:dyDescent="0.2">
      <c r="A106" s="38"/>
      <c r="B106" s="69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69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</row>
    <row r="107" spans="1:74" x14ac:dyDescent="0.2">
      <c r="A107" s="38"/>
      <c r="B107" s="69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69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</row>
    <row r="108" spans="1:74" x14ac:dyDescent="0.2">
      <c r="A108" s="38"/>
      <c r="B108" s="69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69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</row>
    <row r="109" spans="1:74" x14ac:dyDescent="0.2">
      <c r="A109" s="38"/>
      <c r="B109" s="69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69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</row>
    <row r="110" spans="1:74" x14ac:dyDescent="0.2">
      <c r="A110" s="38"/>
      <c r="B110" s="69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69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</row>
  </sheetData>
  <sheetProtection password="CDCE" sheet="1" objects="1" scenarios="1" selectLockedCells="1"/>
  <dataValidations count="9">
    <dataValidation type="whole" allowBlank="1" showInputMessage="1" showErrorMessage="1" error="Horizontale Achseingabe zwischen 0° und 45° oder zwischen 135° und 180° eingeben." prompt="Achse des horizontalen Zentralradius eingeben._x000a_D.h. zwischen 0° und 45° oder 135° bis 180°." sqref="C10" xr:uid="{00000000-0002-0000-0700-000000000000}">
      <formula1>0</formula1>
      <formula2>180</formula2>
    </dataValidation>
    <dataValidation type="decimal" allowBlank="1" showInputMessage="1" showErrorMessage="1" error="Eingabe zwischen 5,0 und 14,0 mm erlaubt." sqref="C19:C21" xr:uid="{00000000-0002-0000-0700-000001000000}">
      <formula1>8</formula1>
      <formula2>14</formula2>
    </dataValidation>
    <dataValidation type="decimal" allowBlank="1" showInputMessage="1" showErrorMessage="1" error="Sagittalradien zwischen 5 und 12 mm erlaubt." sqref="C13:C16" xr:uid="{00000000-0002-0000-0700-000002000000}">
      <formula1>5</formula1>
      <formula2>12</formula2>
    </dataValidation>
    <dataValidation type="whole" allowBlank="1" showInputMessage="1" showErrorMessage="1" error="Messwinkel-Eingabe von 30°, 25° oder 20° erlaubt." prompt="Messwinkel 30°, 25° oder 20° eingeben." sqref="C12" xr:uid="{00000000-0002-0000-0700-000003000000}">
      <formula1>20</formula1>
      <formula2>30</formula2>
    </dataValidation>
    <dataValidation type="decimal" allowBlank="1" showInputMessage="1" showErrorMessage="1" error="Zentralradien zwischen 4 und 12 mm einegeben." sqref="C9 C11" xr:uid="{00000000-0002-0000-0700-000004000000}">
      <formula1>4</formula1>
      <formula2>12</formula2>
    </dataValidation>
    <dataValidation type="whole" allowBlank="1" showInputMessage="1" showErrorMessage="1" error="HSA zwischen 0 und 25 mm eingeben. " sqref="C7" xr:uid="{00000000-0002-0000-0700-000005000000}">
      <formula1>0</formula1>
      <formula2>25</formula2>
    </dataValidation>
    <dataValidation type="whole" allowBlank="1" showInputMessage="1" showErrorMessage="1" error="Achsen zwischen 0° und 180° eingeben._x000a_" sqref="C6" xr:uid="{00000000-0002-0000-0700-000006000000}">
      <formula1>0</formula1>
      <formula2>180</formula2>
    </dataValidation>
    <dataValidation type="decimal" errorStyle="warning" allowBlank="1" showInputMessage="1" showErrorMessage="1" errorTitle="ungültig !!" sqref="C4" xr:uid="{00000000-0002-0000-0700-000007000000}">
      <formula1>-35</formula1>
      <formula2>35</formula2>
    </dataValidation>
    <dataValidation type="decimal" allowBlank="1" showInputMessage="1" showErrorMessage="1" error="Minus-Zylinder eingeben_x000a_zwischen 0 und -10,00 dpt." sqref="C5" xr:uid="{00000000-0002-0000-0700-000008000000}">
      <formula1>-10</formula1>
      <formula2>0</formula2>
    </dataValidation>
  </dataValidations>
  <hyperlinks>
    <hyperlink ref="D2:V2" r:id="rId1" display="Download neuste Version" xr:uid="{00000000-0004-0000-0700-000000000000}"/>
    <hyperlink ref="C2:E2" r:id="rId2" display="Download neuste Version" xr:uid="{00000000-0004-0000-0700-000001000000}"/>
  </hyperlinks>
  <pageMargins left="0.7" right="0.7" top="0.78740157499999996" bottom="0.78740157499999996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66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0.5703125" style="339" customWidth="1"/>
    <col min="2" max="2" width="22" style="339" customWidth="1"/>
    <col min="3" max="3" width="13.140625" style="339" customWidth="1"/>
    <col min="4" max="4" width="10.85546875" style="339" customWidth="1"/>
    <col min="5" max="5" width="6.5703125" style="339" customWidth="1"/>
    <col min="6" max="6" width="11" style="339" customWidth="1"/>
    <col min="7" max="7" width="9" style="339" customWidth="1"/>
    <col min="8" max="8" width="7.42578125" style="339" customWidth="1"/>
    <col min="9" max="10" width="7" style="339" customWidth="1"/>
    <col min="11" max="11" width="0.42578125" style="339" customWidth="1"/>
    <col min="12" max="12" width="4" style="339" customWidth="1"/>
    <col min="13" max="13" width="1.7109375" style="339" customWidth="1"/>
    <col min="14" max="16384" width="11.42578125" style="339"/>
  </cols>
  <sheetData>
    <row r="1" spans="1:52" ht="20.25" x14ac:dyDescent="0.2">
      <c r="A1" s="335"/>
      <c r="B1" s="336" t="s">
        <v>193</v>
      </c>
      <c r="C1" s="337"/>
      <c r="D1" s="336"/>
      <c r="E1" s="338"/>
      <c r="F1" s="338"/>
      <c r="G1" s="338"/>
      <c r="H1" s="338"/>
      <c r="I1" s="338"/>
      <c r="J1" s="338"/>
      <c r="K1" s="338"/>
      <c r="L1" s="338"/>
      <c r="M1" s="335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301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301"/>
    </row>
    <row r="2" spans="1:52" ht="12" customHeight="1" x14ac:dyDescent="0.2">
      <c r="A2" s="335"/>
      <c r="B2" s="330"/>
      <c r="C2" s="330"/>
      <c r="D2" s="330"/>
      <c r="E2" s="330"/>
      <c r="F2" s="309"/>
      <c r="G2" s="309"/>
      <c r="H2" s="309"/>
      <c r="I2" s="309"/>
      <c r="J2" s="340"/>
      <c r="K2" s="340"/>
      <c r="L2" s="340"/>
      <c r="M2" s="335"/>
      <c r="N2" s="309"/>
      <c r="O2" s="309"/>
      <c r="P2" s="309"/>
      <c r="Q2" s="309"/>
      <c r="R2" s="309"/>
      <c r="S2" s="309"/>
      <c r="T2" s="309"/>
      <c r="U2" s="278"/>
      <c r="V2" s="307"/>
      <c r="W2" s="309"/>
      <c r="X2" s="309"/>
      <c r="Y2" s="309"/>
      <c r="Z2" s="309"/>
      <c r="AA2" s="309"/>
      <c r="AB2" s="301"/>
      <c r="AC2" s="309"/>
      <c r="AD2" s="116"/>
      <c r="AE2" s="116"/>
      <c r="AF2" s="116"/>
      <c r="AG2" s="116"/>
      <c r="AH2" s="116"/>
      <c r="AI2" s="116"/>
      <c r="AJ2" s="116"/>
      <c r="AK2" s="309"/>
      <c r="AL2" s="309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301"/>
    </row>
    <row r="3" spans="1:52" ht="20.25" x14ac:dyDescent="0.3">
      <c r="A3" s="335"/>
      <c r="B3" s="341" t="s">
        <v>131</v>
      </c>
      <c r="C3" s="342"/>
      <c r="D3" s="343"/>
      <c r="E3" s="344"/>
      <c r="F3" s="116"/>
      <c r="G3" s="116"/>
      <c r="H3" s="116"/>
      <c r="I3" s="116"/>
      <c r="J3" s="116"/>
      <c r="K3" s="116"/>
      <c r="L3" s="116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278"/>
      <c r="Z3" s="278"/>
      <c r="AA3" s="278"/>
      <c r="AB3" s="301"/>
      <c r="AC3" s="278"/>
      <c r="AD3" s="301"/>
      <c r="AE3" s="297"/>
      <c r="AF3" s="298"/>
      <c r="AG3" s="298"/>
      <c r="AH3" s="295"/>
      <c r="AI3" s="295"/>
      <c r="AJ3" s="293"/>
      <c r="AK3" s="278"/>
      <c r="AL3" s="278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301"/>
    </row>
    <row r="4" spans="1:52" ht="20.25" x14ac:dyDescent="0.3">
      <c r="A4" s="335"/>
      <c r="B4" s="343" t="s">
        <v>5</v>
      </c>
      <c r="C4" s="331">
        <v>7.78</v>
      </c>
      <c r="D4" s="345" t="s">
        <v>1</v>
      </c>
      <c r="E4" s="346"/>
      <c r="F4" s="301"/>
      <c r="G4" s="301"/>
      <c r="H4" s="347"/>
      <c r="I4" s="301"/>
      <c r="J4" s="278"/>
      <c r="K4" s="278"/>
      <c r="L4" s="278"/>
      <c r="M4" s="278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48"/>
      <c r="Z4" s="328"/>
      <c r="AA4" s="328"/>
      <c r="AB4" s="301"/>
      <c r="AC4" s="328"/>
      <c r="AD4" s="301"/>
      <c r="AE4" s="297"/>
      <c r="AF4" s="298"/>
      <c r="AG4" s="295"/>
      <c r="AH4" s="295"/>
      <c r="AI4" s="295"/>
      <c r="AJ4" s="293"/>
      <c r="AK4" s="328"/>
      <c r="AL4" s="328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301"/>
    </row>
    <row r="5" spans="1:52" ht="20.25" x14ac:dyDescent="0.3">
      <c r="A5" s="335"/>
      <c r="B5" s="343" t="s">
        <v>44</v>
      </c>
      <c r="C5" s="332">
        <v>0</v>
      </c>
      <c r="D5" s="345" t="s">
        <v>4</v>
      </c>
      <c r="E5" s="349"/>
      <c r="F5" s="116"/>
      <c r="G5" s="301"/>
      <c r="H5" s="301"/>
      <c r="I5" s="348"/>
      <c r="J5" s="301"/>
      <c r="K5" s="348"/>
      <c r="L5" s="348"/>
      <c r="M5" s="348"/>
      <c r="N5" s="338"/>
      <c r="O5" s="338"/>
      <c r="P5" s="335"/>
      <c r="Q5" s="335"/>
      <c r="R5" s="335"/>
      <c r="S5" s="335"/>
      <c r="T5" s="335"/>
      <c r="U5" s="335"/>
      <c r="V5" s="335"/>
      <c r="W5" s="335"/>
      <c r="X5" s="335"/>
      <c r="Y5" s="116"/>
      <c r="Z5" s="301"/>
      <c r="AA5" s="116"/>
      <c r="AB5" s="301"/>
      <c r="AC5" s="116"/>
      <c r="AD5" s="301"/>
      <c r="AE5" s="297"/>
      <c r="AF5" s="298"/>
      <c r="AG5" s="298"/>
      <c r="AH5" s="295"/>
      <c r="AI5" s="350"/>
      <c r="AJ5" s="293"/>
      <c r="AK5" s="116"/>
      <c r="AL5" s="116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301"/>
    </row>
    <row r="6" spans="1:52" ht="20.25" x14ac:dyDescent="0.3">
      <c r="A6" s="335"/>
      <c r="B6" s="343" t="s">
        <v>7</v>
      </c>
      <c r="C6" s="333">
        <v>7.6</v>
      </c>
      <c r="D6" s="345" t="s">
        <v>1</v>
      </c>
      <c r="E6" s="349"/>
      <c r="F6" s="116"/>
      <c r="G6" s="301"/>
      <c r="H6" s="301"/>
      <c r="I6" s="338"/>
      <c r="J6" s="348"/>
      <c r="K6" s="348"/>
      <c r="L6" s="348"/>
      <c r="M6" s="348"/>
      <c r="N6" s="348"/>
      <c r="O6" s="348"/>
      <c r="P6" s="335"/>
      <c r="Q6" s="335"/>
      <c r="R6" s="335"/>
      <c r="S6" s="335"/>
      <c r="T6" s="335"/>
      <c r="U6" s="335"/>
      <c r="V6" s="335"/>
      <c r="W6" s="335"/>
      <c r="X6" s="335"/>
      <c r="Y6" s="328"/>
      <c r="Z6" s="301"/>
      <c r="AA6" s="328"/>
      <c r="AB6" s="301"/>
      <c r="AC6" s="328"/>
      <c r="AD6" s="301"/>
      <c r="AE6" s="297"/>
      <c r="AF6" s="298"/>
      <c r="AG6" s="298"/>
      <c r="AH6" s="295"/>
      <c r="AI6" s="350"/>
      <c r="AJ6" s="293"/>
      <c r="AK6" s="328"/>
      <c r="AL6" s="328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116"/>
    </row>
    <row r="7" spans="1:52" ht="20.25" x14ac:dyDescent="0.3">
      <c r="A7" s="335"/>
      <c r="B7" s="343" t="s">
        <v>41</v>
      </c>
      <c r="C7" s="332">
        <v>30</v>
      </c>
      <c r="D7" s="345" t="s">
        <v>4</v>
      </c>
      <c r="E7" s="351"/>
      <c r="F7" s="301"/>
      <c r="G7" s="301"/>
      <c r="H7" s="301"/>
      <c r="I7" s="338"/>
      <c r="J7" s="338"/>
      <c r="K7" s="338"/>
      <c r="L7" s="338"/>
      <c r="M7" s="338"/>
      <c r="N7" s="348"/>
      <c r="O7" s="348"/>
      <c r="P7" s="335"/>
      <c r="Q7" s="335"/>
      <c r="R7" s="335"/>
      <c r="S7" s="335"/>
      <c r="T7" s="335"/>
      <c r="U7" s="335"/>
      <c r="V7" s="335"/>
      <c r="W7" s="335"/>
      <c r="X7" s="335"/>
      <c r="Y7" s="116"/>
      <c r="Z7" s="301"/>
      <c r="AA7" s="116"/>
      <c r="AB7" s="301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352"/>
    </row>
    <row r="8" spans="1:52" ht="20.25" x14ac:dyDescent="0.3">
      <c r="A8" s="335"/>
      <c r="B8" s="343" t="s">
        <v>8</v>
      </c>
      <c r="C8" s="333">
        <v>7.8</v>
      </c>
      <c r="D8" s="345" t="s">
        <v>1</v>
      </c>
      <c r="E8" s="344"/>
      <c r="F8" s="116"/>
      <c r="G8" s="353"/>
      <c r="H8" s="353"/>
      <c r="I8" s="338"/>
      <c r="J8" s="338"/>
      <c r="K8" s="338"/>
      <c r="L8" s="338"/>
      <c r="M8" s="348"/>
      <c r="N8" s="348"/>
      <c r="O8" s="348"/>
      <c r="P8" s="335"/>
      <c r="Q8" s="335"/>
      <c r="R8" s="335"/>
      <c r="S8" s="335"/>
      <c r="T8" s="335"/>
      <c r="U8" s="335"/>
      <c r="V8" s="335"/>
      <c r="W8" s="335"/>
      <c r="X8" s="335"/>
      <c r="Y8" s="301"/>
      <c r="Z8" s="301"/>
      <c r="AA8" s="116"/>
      <c r="AB8" s="301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116"/>
    </row>
    <row r="9" spans="1:52" ht="20.25" x14ac:dyDescent="0.3">
      <c r="A9" s="335"/>
      <c r="B9" s="343" t="s">
        <v>9</v>
      </c>
      <c r="C9" s="333">
        <v>7.8</v>
      </c>
      <c r="D9" s="345" t="s">
        <v>1</v>
      </c>
      <c r="E9" s="351"/>
      <c r="F9" s="301"/>
      <c r="G9" s="301"/>
      <c r="H9" s="301"/>
      <c r="I9" s="338"/>
      <c r="J9" s="338"/>
      <c r="K9" s="338"/>
      <c r="L9" s="338"/>
      <c r="M9" s="338"/>
      <c r="N9" s="338"/>
      <c r="O9" s="338"/>
      <c r="P9" s="335"/>
      <c r="Q9" s="335"/>
      <c r="R9" s="335"/>
      <c r="S9" s="335"/>
      <c r="T9" s="335"/>
      <c r="U9" s="335"/>
      <c r="V9" s="335"/>
      <c r="W9" s="335"/>
      <c r="X9" s="335"/>
      <c r="Y9" s="338"/>
      <c r="Z9" s="301"/>
      <c r="AA9" s="116"/>
      <c r="AB9" s="301"/>
      <c r="AC9" s="116"/>
      <c r="AD9" s="301"/>
      <c r="AE9" s="301"/>
      <c r="AF9" s="301"/>
      <c r="AG9" s="301"/>
      <c r="AH9" s="301"/>
      <c r="AI9" s="301"/>
      <c r="AJ9" s="301"/>
      <c r="AK9" s="116"/>
      <c r="AL9" s="116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301"/>
    </row>
    <row r="10" spans="1:52" ht="20.25" x14ac:dyDescent="0.3">
      <c r="A10" s="335"/>
      <c r="B10" s="343" t="s">
        <v>10</v>
      </c>
      <c r="C10" s="333">
        <v>8.3000000000000007</v>
      </c>
      <c r="D10" s="345" t="s">
        <v>1</v>
      </c>
      <c r="E10" s="351"/>
      <c r="F10" s="301"/>
      <c r="G10" s="301"/>
      <c r="H10" s="301"/>
      <c r="I10" s="348"/>
      <c r="J10" s="301"/>
      <c r="K10" s="348"/>
      <c r="L10" s="348"/>
      <c r="M10" s="348"/>
      <c r="N10" s="338"/>
      <c r="O10" s="338"/>
      <c r="P10" s="354"/>
      <c r="Q10" s="354"/>
      <c r="R10" s="354"/>
      <c r="S10" s="355" t="s">
        <v>165</v>
      </c>
      <c r="T10" s="354"/>
      <c r="U10" s="354"/>
      <c r="V10" s="116"/>
      <c r="W10" s="301"/>
      <c r="X10" s="301"/>
      <c r="Y10" s="301"/>
      <c r="Z10" s="301"/>
      <c r="AA10" s="116"/>
      <c r="AB10" s="301"/>
      <c r="AC10" s="116"/>
      <c r="AD10" s="301"/>
      <c r="AE10" s="301"/>
      <c r="AF10" s="301"/>
      <c r="AG10" s="301"/>
      <c r="AH10" s="301"/>
      <c r="AI10" s="301"/>
      <c r="AJ10" s="301"/>
      <c r="AK10" s="116"/>
      <c r="AL10" s="116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301"/>
    </row>
    <row r="11" spans="1:52" ht="20.25" x14ac:dyDescent="0.3">
      <c r="A11" s="335"/>
      <c r="B11" s="343" t="s">
        <v>11</v>
      </c>
      <c r="C11" s="334">
        <v>8.3000000000000007</v>
      </c>
      <c r="D11" s="345" t="s">
        <v>1</v>
      </c>
      <c r="E11" s="344"/>
      <c r="F11" s="116"/>
      <c r="G11" s="116"/>
      <c r="H11" s="116"/>
      <c r="I11" s="116"/>
      <c r="J11" s="116"/>
      <c r="K11" s="116"/>
      <c r="L11" s="116"/>
      <c r="M11" s="335"/>
      <c r="N11" s="356" t="s">
        <v>32</v>
      </c>
      <c r="O11" s="293"/>
      <c r="P11" s="293"/>
      <c r="Q11" s="293"/>
      <c r="R11" s="293"/>
      <c r="S11" s="293"/>
      <c r="T11" s="293"/>
      <c r="U11" s="354"/>
      <c r="V11" s="278"/>
      <c r="W11" s="278"/>
      <c r="X11" s="278"/>
      <c r="Y11" s="278"/>
      <c r="Z11" s="278"/>
      <c r="AA11" s="278"/>
      <c r="AB11" s="301"/>
      <c r="AC11" s="116"/>
      <c r="AD11" s="301"/>
      <c r="AE11" s="301"/>
      <c r="AF11" s="301"/>
      <c r="AG11" s="301"/>
      <c r="AH11" s="301"/>
      <c r="AI11" s="301"/>
      <c r="AJ11" s="301"/>
      <c r="AK11" s="116"/>
      <c r="AL11" s="116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301"/>
    </row>
    <row r="12" spans="1:52" ht="21" thickBot="1" x14ac:dyDescent="0.25">
      <c r="A12" s="335"/>
      <c r="B12" s="357"/>
      <c r="C12" s="357"/>
      <c r="D12" s="357"/>
      <c r="E12" s="357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354"/>
      <c r="V12" s="278"/>
      <c r="W12" s="278"/>
      <c r="X12" s="278"/>
      <c r="Y12" s="278"/>
      <c r="Z12" s="278"/>
      <c r="AA12" s="278"/>
      <c r="AB12" s="301"/>
      <c r="AC12" s="116"/>
      <c r="AD12" s="301"/>
      <c r="AE12" s="301"/>
      <c r="AF12" s="301"/>
      <c r="AG12" s="301"/>
      <c r="AH12" s="301"/>
      <c r="AI12" s="301"/>
      <c r="AJ12" s="301"/>
      <c r="AK12" s="116"/>
      <c r="AL12" s="116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301"/>
    </row>
    <row r="13" spans="1:52" ht="21" x14ac:dyDescent="0.35">
      <c r="A13" s="335"/>
      <c r="B13" s="358"/>
      <c r="C13" s="359" t="s">
        <v>202</v>
      </c>
      <c r="D13" s="360">
        <f>H57</f>
        <v>0.59099999999999997</v>
      </c>
      <c r="E13" s="357"/>
      <c r="F13" s="116"/>
      <c r="G13" s="116"/>
      <c r="H13" s="116"/>
      <c r="I13" s="361"/>
      <c r="J13" s="116"/>
      <c r="K13" s="116"/>
      <c r="L13" s="116"/>
      <c r="M13" s="335"/>
      <c r="N13" s="362" t="s">
        <v>6</v>
      </c>
      <c r="O13" s="293"/>
      <c r="P13" s="293"/>
      <c r="Q13" s="293"/>
      <c r="R13" s="293"/>
      <c r="S13" s="293"/>
      <c r="T13" s="293"/>
      <c r="U13" s="354" t="s">
        <v>4</v>
      </c>
      <c r="V13" s="278"/>
      <c r="W13" s="278"/>
      <c r="X13" s="278"/>
      <c r="Y13" s="278"/>
      <c r="Z13" s="278"/>
      <c r="AA13" s="278"/>
      <c r="AB13" s="301"/>
      <c r="AC13" s="116"/>
      <c r="AD13" s="301"/>
      <c r="AE13" s="301"/>
      <c r="AF13" s="301"/>
      <c r="AG13" s="301"/>
      <c r="AH13" s="301"/>
      <c r="AI13" s="301"/>
      <c r="AJ13" s="301"/>
      <c r="AK13" s="116"/>
      <c r="AL13" s="116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301"/>
    </row>
    <row r="14" spans="1:52" ht="21.75" thickBot="1" x14ac:dyDescent="0.4">
      <c r="A14" s="335"/>
      <c r="B14" s="363"/>
      <c r="C14" s="364" t="s">
        <v>203</v>
      </c>
      <c r="D14" s="365">
        <f>H58</f>
        <v>0.44500000000000001</v>
      </c>
      <c r="E14" s="357"/>
      <c r="F14" s="116"/>
      <c r="G14" s="116"/>
      <c r="H14" s="116"/>
      <c r="I14" s="366"/>
      <c r="J14" s="116"/>
      <c r="K14" s="116"/>
      <c r="L14" s="116"/>
      <c r="M14" s="335"/>
      <c r="N14" s="362" t="s">
        <v>40</v>
      </c>
      <c r="O14" s="335">
        <v>0</v>
      </c>
      <c r="P14" s="354" t="s">
        <v>1</v>
      </c>
      <c r="Q14" s="354"/>
      <c r="R14" s="335"/>
      <c r="S14" s="335"/>
      <c r="T14" s="354"/>
      <c r="U14" s="354"/>
      <c r="V14" s="278"/>
      <c r="W14" s="278"/>
      <c r="X14" s="278"/>
      <c r="Y14" s="278"/>
      <c r="Z14" s="278"/>
      <c r="AA14" s="278"/>
      <c r="AB14" s="301"/>
      <c r="AC14" s="301"/>
      <c r="AD14" s="301"/>
      <c r="AE14" s="301"/>
      <c r="AF14" s="301"/>
      <c r="AG14" s="301"/>
      <c r="AH14" s="116"/>
      <c r="AI14" s="116"/>
      <c r="AJ14" s="116"/>
      <c r="AK14" s="116"/>
      <c r="AL14" s="116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301"/>
    </row>
    <row r="15" spans="1:52" x14ac:dyDescent="0.2">
      <c r="A15" s="335"/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335"/>
      <c r="N15" s="367" t="s">
        <v>135</v>
      </c>
      <c r="O15" s="335"/>
      <c r="P15" s="335"/>
      <c r="Q15" s="335"/>
      <c r="R15" s="335"/>
      <c r="S15" s="335"/>
      <c r="T15" s="354"/>
      <c r="U15" s="354"/>
      <c r="V15" s="278"/>
      <c r="W15" s="278"/>
      <c r="X15" s="278"/>
      <c r="Y15" s="278"/>
      <c r="Z15" s="278"/>
      <c r="AA15" s="278"/>
      <c r="AB15" s="301"/>
      <c r="AC15" s="301"/>
      <c r="AD15" s="116"/>
      <c r="AE15" s="116"/>
      <c r="AF15" s="116"/>
      <c r="AG15" s="116"/>
      <c r="AH15" s="116"/>
      <c r="AI15" s="116"/>
      <c r="AJ15" s="116"/>
      <c r="AK15" s="116"/>
      <c r="AL15" s="116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301"/>
    </row>
    <row r="16" spans="1:52" x14ac:dyDescent="0.2">
      <c r="A16" s="335"/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335">
        <f>AT5</f>
        <v>0</v>
      </c>
      <c r="Q16" s="335"/>
      <c r="R16" s="335"/>
      <c r="S16" s="335"/>
      <c r="T16" s="354"/>
      <c r="U16" s="354"/>
      <c r="V16" s="278"/>
      <c r="W16" s="278"/>
      <c r="X16" s="278"/>
      <c r="Y16" s="278"/>
      <c r="Z16" s="278"/>
      <c r="AA16" s="278"/>
      <c r="AB16" s="301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116"/>
    </row>
    <row r="17" spans="1:52" x14ac:dyDescent="0.2">
      <c r="A17" s="335"/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335">
        <f>AT6</f>
        <v>0</v>
      </c>
      <c r="Q17" s="335"/>
      <c r="R17" s="335"/>
      <c r="S17" s="335"/>
      <c r="T17" s="354"/>
      <c r="U17" s="354"/>
      <c r="V17" s="278"/>
      <c r="W17" s="278"/>
      <c r="X17" s="278"/>
      <c r="Y17" s="278"/>
      <c r="Z17" s="278"/>
      <c r="AA17" s="278"/>
      <c r="AB17" s="301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116"/>
    </row>
    <row r="18" spans="1:52" x14ac:dyDescent="0.2">
      <c r="A18" s="335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335">
        <f>AU7</f>
        <v>0</v>
      </c>
      <c r="Q18" s="335"/>
      <c r="R18" s="335" t="s">
        <v>4</v>
      </c>
      <c r="S18" s="335"/>
      <c r="T18" s="354"/>
      <c r="U18" s="354"/>
      <c r="V18" s="278"/>
      <c r="W18" s="278"/>
      <c r="X18" s="278"/>
      <c r="Y18" s="278"/>
      <c r="Z18" s="278"/>
      <c r="AA18" s="278"/>
      <c r="AB18" s="301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301"/>
    </row>
    <row r="19" spans="1:52" x14ac:dyDescent="0.2">
      <c r="A19" s="335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335">
        <f>AQ8</f>
        <v>0</v>
      </c>
      <c r="Q19" s="335"/>
      <c r="R19" s="335" t="s">
        <v>4</v>
      </c>
      <c r="S19" s="335"/>
      <c r="T19" s="354"/>
      <c r="U19" s="354"/>
      <c r="V19" s="278"/>
      <c r="W19" s="278"/>
      <c r="X19" s="278"/>
      <c r="Y19" s="278"/>
      <c r="Z19" s="278"/>
      <c r="AA19" s="278"/>
      <c r="AB19" s="301"/>
      <c r="AC19" s="116"/>
      <c r="AD19" s="301"/>
      <c r="AE19" s="301"/>
      <c r="AF19" s="301"/>
      <c r="AG19" s="301"/>
      <c r="AH19" s="301"/>
      <c r="AI19" s="301"/>
      <c r="AJ19" s="301"/>
      <c r="AK19" s="301"/>
      <c r="AL19" s="301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301"/>
    </row>
    <row r="20" spans="1:52" x14ac:dyDescent="0.2">
      <c r="A20" s="335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335">
        <f>AU8</f>
        <v>0</v>
      </c>
      <c r="Q20" s="335"/>
      <c r="R20" s="335" t="s">
        <v>4</v>
      </c>
      <c r="S20" s="335"/>
      <c r="T20" s="354"/>
      <c r="U20" s="354"/>
      <c r="V20" s="278"/>
      <c r="W20" s="278"/>
      <c r="X20" s="278"/>
      <c r="Y20" s="278"/>
      <c r="Z20" s="278"/>
      <c r="AA20" s="278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301"/>
    </row>
    <row r="21" spans="1:52" x14ac:dyDescent="0.2">
      <c r="A21" s="335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335"/>
      <c r="Q21" s="335"/>
      <c r="R21" s="335"/>
      <c r="S21" s="335"/>
      <c r="T21" s="335"/>
      <c r="U21" s="356" t="e">
        <f>IF(#REF!="RT-rücktorische HL",IF(O20=O18/3,"(RT-Vollkorrektion)","(BTX)"),IF(#REF!="torische Weichlinse",IF(ABS(#REF!)&lt;3,"(Standard)","(individuell)"),""))</f>
        <v>#REF!</v>
      </c>
      <c r="V21" s="278"/>
      <c r="W21" s="278"/>
      <c r="X21" s="278"/>
      <c r="Y21" s="278"/>
      <c r="Z21" s="278"/>
      <c r="AA21" s="278"/>
      <c r="AB21" s="301"/>
      <c r="AC21" s="301"/>
      <c r="AD21" s="116"/>
      <c r="AE21" s="116"/>
      <c r="AF21" s="116"/>
      <c r="AG21" s="116"/>
      <c r="AH21" s="116"/>
      <c r="AI21" s="116"/>
      <c r="AJ21" s="116"/>
      <c r="AK21" s="116"/>
      <c r="AL21" s="116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301"/>
    </row>
    <row r="22" spans="1:52" x14ac:dyDescent="0.2">
      <c r="A22" s="335"/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368" t="s">
        <v>47</v>
      </c>
      <c r="Q22" s="368"/>
      <c r="R22" s="335" t="str">
        <f>G61</f>
        <v>normale HH-Abflachung</v>
      </c>
      <c r="S22" s="335"/>
      <c r="T22" s="354"/>
      <c r="U22" s="354"/>
      <c r="V22" s="301"/>
      <c r="W22" s="301"/>
      <c r="X22" s="301"/>
      <c r="Y22" s="301"/>
      <c r="Z22" s="301"/>
      <c r="AA22" s="301"/>
      <c r="AB22" s="301"/>
      <c r="AC22" s="301"/>
      <c r="AD22" s="116"/>
      <c r="AE22" s="116"/>
      <c r="AF22" s="116"/>
      <c r="AG22" s="116"/>
      <c r="AH22" s="116"/>
      <c r="AI22" s="116"/>
      <c r="AJ22" s="116"/>
      <c r="AK22" s="116"/>
      <c r="AL22" s="116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301"/>
    </row>
    <row r="23" spans="1:52" x14ac:dyDescent="0.2">
      <c r="A23" s="301"/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368"/>
      <c r="Q23" s="368"/>
      <c r="R23" s="335"/>
      <c r="S23" s="335"/>
      <c r="T23" s="354"/>
      <c r="U23" s="354"/>
      <c r="V23" s="301"/>
      <c r="W23" s="301"/>
      <c r="X23" s="301"/>
      <c r="Y23" s="301"/>
      <c r="Z23" s="301"/>
      <c r="AA23" s="301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301"/>
    </row>
    <row r="24" spans="1:52" x14ac:dyDescent="0.2">
      <c r="A24" s="301"/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368"/>
      <c r="Q24" s="368"/>
      <c r="R24" s="335"/>
      <c r="S24" s="335"/>
      <c r="T24" s="354"/>
      <c r="U24" s="354"/>
      <c r="V24" s="116"/>
      <c r="W24" s="116"/>
      <c r="X24" s="116"/>
      <c r="Y24" s="116"/>
      <c r="Z24" s="116"/>
      <c r="AA24" s="116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301"/>
    </row>
    <row r="25" spans="1:52" x14ac:dyDescent="0.2">
      <c r="A25" s="301"/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335"/>
      <c r="Q25" s="335"/>
      <c r="R25" s="335"/>
      <c r="S25" s="335"/>
      <c r="T25" s="354"/>
      <c r="U25" s="354"/>
      <c r="V25" s="369"/>
      <c r="W25" s="369"/>
      <c r="X25" s="369"/>
      <c r="Y25" s="369"/>
      <c r="Z25" s="369"/>
      <c r="AA25" s="369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301"/>
    </row>
    <row r="26" spans="1:52" x14ac:dyDescent="0.2">
      <c r="A26" s="301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335"/>
      <c r="Q26" s="335"/>
      <c r="R26" s="335"/>
      <c r="S26" s="335"/>
      <c r="T26" s="354"/>
      <c r="U26" s="354"/>
      <c r="V26" s="116"/>
      <c r="W26" s="116"/>
      <c r="X26" s="116"/>
      <c r="Y26" s="116"/>
      <c r="Z26" s="116"/>
      <c r="AA26" s="116"/>
      <c r="AB26" s="370"/>
      <c r="AC26" s="370"/>
      <c r="AD26" s="370"/>
      <c r="AE26" s="370"/>
      <c r="AF26" s="370"/>
      <c r="AG26" s="370"/>
      <c r="AH26" s="370"/>
      <c r="AI26" s="370"/>
      <c r="AJ26" s="370"/>
      <c r="AK26" s="370"/>
      <c r="AL26" s="370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301"/>
    </row>
    <row r="27" spans="1:52" x14ac:dyDescent="0.2">
      <c r="A27" s="301"/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354"/>
      <c r="Q27" s="354"/>
      <c r="R27" s="335"/>
      <c r="S27" s="335"/>
      <c r="T27" s="335"/>
      <c r="U27" s="335"/>
      <c r="V27" s="370"/>
      <c r="W27" s="370"/>
      <c r="X27" s="370"/>
      <c r="Y27" s="370"/>
      <c r="Z27" s="370"/>
      <c r="AA27" s="370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301"/>
    </row>
    <row r="28" spans="1:52" x14ac:dyDescent="0.2">
      <c r="A28" s="301"/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354"/>
      <c r="Q28" s="354"/>
      <c r="R28" s="335"/>
      <c r="S28" s="335"/>
      <c r="T28" s="335"/>
      <c r="U28" s="335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301"/>
    </row>
    <row r="29" spans="1:52" x14ac:dyDescent="0.2">
      <c r="A29" s="301"/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116"/>
      <c r="Q29" s="335"/>
      <c r="R29" s="335"/>
      <c r="S29" s="335"/>
      <c r="T29" s="116"/>
      <c r="U29" s="116"/>
      <c r="V29" s="116"/>
      <c r="W29" s="116"/>
      <c r="X29" s="116"/>
      <c r="Y29" s="116"/>
      <c r="Z29" s="116"/>
      <c r="AA29" s="116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301"/>
    </row>
    <row r="30" spans="1:52" x14ac:dyDescent="0.2">
      <c r="A30" s="301"/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116"/>
      <c r="Q30" s="335"/>
      <c r="R30" s="335"/>
      <c r="S30" s="335"/>
      <c r="T30" s="116"/>
      <c r="U30" s="116"/>
      <c r="V30" s="116"/>
      <c r="W30" s="116"/>
      <c r="X30" s="116"/>
      <c r="Y30" s="116"/>
      <c r="Z30" s="116"/>
      <c r="AA30" s="116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301"/>
    </row>
    <row r="31" spans="1:52" x14ac:dyDescent="0.2">
      <c r="A31" s="301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116"/>
      <c r="Q31" s="335"/>
      <c r="R31" s="335"/>
      <c r="S31" s="335"/>
      <c r="T31" s="116"/>
      <c r="U31" s="116"/>
      <c r="V31" s="116"/>
      <c r="W31" s="116"/>
      <c r="X31" s="116"/>
      <c r="Y31" s="116"/>
      <c r="Z31" s="116"/>
      <c r="AA31" s="116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301"/>
    </row>
    <row r="32" spans="1:52" x14ac:dyDescent="0.2">
      <c r="A32" s="301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116"/>
      <c r="Q32" s="335"/>
      <c r="R32" s="335"/>
      <c r="S32" s="335"/>
      <c r="T32" s="116"/>
      <c r="U32" s="116"/>
      <c r="V32" s="116"/>
      <c r="W32" s="116"/>
      <c r="X32" s="116"/>
      <c r="Y32" s="116"/>
      <c r="Z32" s="116"/>
      <c r="AA32" s="116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301"/>
    </row>
    <row r="33" spans="1:52" x14ac:dyDescent="0.2">
      <c r="A33" s="301"/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116"/>
      <c r="Q33" s="335"/>
      <c r="R33" s="335"/>
      <c r="S33" s="335"/>
      <c r="T33" s="116"/>
      <c r="U33" s="116"/>
      <c r="V33" s="116"/>
      <c r="W33" s="116"/>
      <c r="X33" s="116"/>
      <c r="Y33" s="116"/>
      <c r="Z33" s="116"/>
      <c r="AA33" s="116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301"/>
    </row>
    <row r="34" spans="1:52" x14ac:dyDescent="0.2">
      <c r="A34" s="301"/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116"/>
      <c r="Q34" s="335"/>
      <c r="R34" s="335"/>
      <c r="S34" s="335"/>
      <c r="T34" s="116"/>
      <c r="U34" s="116"/>
      <c r="V34" s="116"/>
      <c r="W34" s="116"/>
      <c r="X34" s="116"/>
      <c r="Y34" s="116"/>
      <c r="Z34" s="116"/>
      <c r="AA34" s="116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301"/>
    </row>
    <row r="35" spans="1:52" x14ac:dyDescent="0.2">
      <c r="A35" s="301"/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116"/>
      <c r="Q35" s="335"/>
      <c r="R35" s="335"/>
      <c r="S35" s="335"/>
      <c r="T35" s="116"/>
      <c r="U35" s="116"/>
      <c r="V35" s="116"/>
      <c r="W35" s="116"/>
      <c r="X35" s="116"/>
      <c r="Y35" s="116"/>
      <c r="Z35" s="116"/>
      <c r="AA35" s="116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301"/>
    </row>
    <row r="36" spans="1:52" x14ac:dyDescent="0.2">
      <c r="A36" s="301"/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116"/>
      <c r="Q36" s="335"/>
      <c r="R36" s="335"/>
      <c r="S36" s="335"/>
      <c r="T36" s="116"/>
      <c r="U36" s="116"/>
      <c r="V36" s="116"/>
      <c r="W36" s="116"/>
      <c r="X36" s="116"/>
      <c r="Y36" s="116"/>
      <c r="Z36" s="116"/>
      <c r="AA36" s="116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301"/>
    </row>
    <row r="37" spans="1:52" x14ac:dyDescent="0.2">
      <c r="A37" s="301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116"/>
      <c r="Q37" s="335"/>
      <c r="R37" s="335"/>
      <c r="S37" s="335"/>
      <c r="T37" s="116"/>
      <c r="U37" s="116"/>
      <c r="V37" s="116"/>
      <c r="W37" s="116"/>
      <c r="X37" s="116"/>
      <c r="Y37" s="116"/>
      <c r="Z37" s="116"/>
      <c r="AA37" s="116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301"/>
    </row>
    <row r="38" spans="1:52" x14ac:dyDescent="0.2">
      <c r="A38" s="301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116"/>
      <c r="Q38" s="335"/>
      <c r="R38" s="335"/>
      <c r="S38" s="335"/>
      <c r="T38" s="116"/>
      <c r="U38" s="116"/>
      <c r="V38" s="116"/>
      <c r="W38" s="116"/>
      <c r="X38" s="116"/>
      <c r="Y38" s="116"/>
      <c r="Z38" s="116"/>
      <c r="AA38" s="116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301"/>
    </row>
    <row r="39" spans="1:52" x14ac:dyDescent="0.2">
      <c r="A39" s="301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116"/>
      <c r="Q39" s="335"/>
      <c r="R39" s="335"/>
      <c r="S39" s="335"/>
      <c r="T39" s="116"/>
      <c r="U39" s="116"/>
      <c r="V39" s="116"/>
      <c r="W39" s="116"/>
      <c r="X39" s="116"/>
      <c r="Y39" s="116"/>
      <c r="Z39" s="116"/>
      <c r="AA39" s="116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301"/>
    </row>
    <row r="40" spans="1:52" x14ac:dyDescent="0.2">
      <c r="A40" s="301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116"/>
      <c r="Q40" s="335"/>
      <c r="R40" s="335"/>
      <c r="S40" s="335"/>
      <c r="T40" s="116"/>
      <c r="U40" s="116"/>
      <c r="V40" s="116"/>
      <c r="W40" s="116"/>
      <c r="X40" s="116"/>
      <c r="Y40" s="116"/>
      <c r="Z40" s="116"/>
      <c r="AA40" s="116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301"/>
    </row>
    <row r="41" spans="1:52" x14ac:dyDescent="0.2">
      <c r="A41" s="301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116"/>
      <c r="Q41" s="335"/>
      <c r="R41" s="335"/>
      <c r="S41" s="335"/>
      <c r="T41" s="116"/>
      <c r="U41" s="116"/>
      <c r="V41" s="116"/>
      <c r="W41" s="116"/>
      <c r="X41" s="116"/>
      <c r="Y41" s="116"/>
      <c r="Z41" s="116"/>
      <c r="AA41" s="116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301"/>
    </row>
    <row r="42" spans="1:52" x14ac:dyDescent="0.2">
      <c r="A42" s="301"/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116"/>
      <c r="Q42" s="335"/>
      <c r="R42" s="335"/>
      <c r="S42" s="335"/>
      <c r="T42" s="116"/>
      <c r="U42" s="116"/>
      <c r="V42" s="116"/>
      <c r="W42" s="116"/>
      <c r="X42" s="116"/>
      <c r="Y42" s="116"/>
      <c r="Z42" s="116"/>
      <c r="AA42" s="116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301"/>
    </row>
    <row r="43" spans="1:52" x14ac:dyDescent="0.2">
      <c r="A43" s="301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116"/>
      <c r="Q43" s="335"/>
      <c r="R43" s="335"/>
      <c r="S43" s="335"/>
      <c r="T43" s="116"/>
      <c r="U43" s="116"/>
      <c r="V43" s="116"/>
      <c r="W43" s="116"/>
      <c r="X43" s="116"/>
      <c r="Y43" s="116"/>
      <c r="Z43" s="116"/>
      <c r="AA43" s="116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301"/>
    </row>
    <row r="44" spans="1:52" x14ac:dyDescent="0.2">
      <c r="A44" s="301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116"/>
      <c r="Q44" s="335"/>
      <c r="R44" s="335"/>
      <c r="S44" s="335"/>
      <c r="T44" s="116"/>
      <c r="U44" s="116"/>
      <c r="V44" s="116"/>
      <c r="W44" s="116"/>
      <c r="X44" s="116"/>
      <c r="Y44" s="116"/>
      <c r="Z44" s="116"/>
      <c r="AA44" s="116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301"/>
    </row>
    <row r="45" spans="1:52" x14ac:dyDescent="0.2">
      <c r="A45" s="301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116"/>
      <c r="Q45" s="335"/>
      <c r="R45" s="335"/>
      <c r="S45" s="335"/>
      <c r="T45" s="116"/>
      <c r="U45" s="116"/>
      <c r="V45" s="116"/>
      <c r="W45" s="116"/>
      <c r="X45" s="116"/>
      <c r="Y45" s="116"/>
      <c r="Z45" s="116"/>
      <c r="AA45" s="116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301"/>
    </row>
    <row r="46" spans="1:52" x14ac:dyDescent="0.2">
      <c r="A46" s="301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116"/>
      <c r="Q46" s="335"/>
      <c r="R46" s="335"/>
      <c r="S46" s="335"/>
      <c r="T46" s="116"/>
      <c r="U46" s="116"/>
      <c r="V46" s="116"/>
      <c r="W46" s="116"/>
      <c r="X46" s="116"/>
      <c r="Y46" s="116"/>
      <c r="Z46" s="116"/>
      <c r="AA46" s="116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301"/>
    </row>
    <row r="47" spans="1:52" x14ac:dyDescent="0.2">
      <c r="A47" s="301"/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116"/>
      <c r="Q47" s="335"/>
      <c r="R47" s="335"/>
      <c r="S47" s="335"/>
      <c r="T47" s="116"/>
      <c r="U47" s="116"/>
      <c r="V47" s="116"/>
      <c r="W47" s="116"/>
      <c r="X47" s="116"/>
      <c r="Y47" s="116"/>
      <c r="Z47" s="116"/>
      <c r="AA47" s="116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301"/>
    </row>
    <row r="48" spans="1:52" x14ac:dyDescent="0.2">
      <c r="A48" s="301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116"/>
      <c r="Q48" s="335"/>
      <c r="R48" s="335"/>
      <c r="S48" s="335"/>
      <c r="T48" s="116"/>
      <c r="U48" s="116"/>
      <c r="V48" s="116"/>
      <c r="W48" s="116"/>
      <c r="X48" s="116"/>
      <c r="Y48" s="116"/>
      <c r="Z48" s="116"/>
      <c r="AA48" s="116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301"/>
    </row>
    <row r="49" spans="1:52" x14ac:dyDescent="0.2">
      <c r="A49" s="301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116"/>
      <c r="Q49" s="335"/>
      <c r="R49" s="335"/>
      <c r="S49" s="335"/>
      <c r="T49" s="116"/>
      <c r="U49" s="116"/>
      <c r="V49" s="116"/>
      <c r="W49" s="116"/>
      <c r="X49" s="116"/>
      <c r="Y49" s="116"/>
      <c r="Z49" s="116"/>
      <c r="AA49" s="116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301"/>
    </row>
    <row r="50" spans="1:52" x14ac:dyDescent="0.2">
      <c r="A50" s="301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116"/>
      <c r="Q50" s="335"/>
      <c r="R50" s="335"/>
      <c r="S50" s="335"/>
      <c r="T50" s="116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301"/>
    </row>
    <row r="51" spans="1:52" x14ac:dyDescent="0.2">
      <c r="A51" s="301"/>
      <c r="B51" s="116"/>
      <c r="C51" s="116"/>
      <c r="D51" s="353"/>
      <c r="E51" s="353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335"/>
      <c r="R51" s="335"/>
      <c r="S51" s="335"/>
      <c r="T51" s="116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301"/>
    </row>
    <row r="52" spans="1:52" ht="14.25" customHeight="1" x14ac:dyDescent="0.2">
      <c r="A52" s="301"/>
      <c r="B52" s="326" t="s">
        <v>15</v>
      </c>
      <c r="C52" s="328" t="s">
        <v>13</v>
      </c>
      <c r="D52" s="326">
        <f>IF(C4&gt;=C6,C8+H56,C8-H56)</f>
        <v>7.98</v>
      </c>
      <c r="E52" s="328" t="s">
        <v>1</v>
      </c>
      <c r="F52" s="371" t="s">
        <v>17</v>
      </c>
      <c r="G52" s="328" t="s">
        <v>13</v>
      </c>
      <c r="H52" s="327">
        <f>IF(C4&gt;=C6,C10-H56,C10+H56)</f>
        <v>8.120000000000001</v>
      </c>
      <c r="I52" s="328" t="s">
        <v>1</v>
      </c>
      <c r="J52" s="328"/>
      <c r="K52" s="328"/>
      <c r="L52" s="372"/>
      <c r="M52" s="301"/>
      <c r="N52" s="301"/>
      <c r="O52" s="301"/>
      <c r="P52" s="301"/>
      <c r="Q52" s="335"/>
      <c r="R52" s="335"/>
      <c r="S52" s="335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301"/>
    </row>
    <row r="53" spans="1:52" x14ac:dyDescent="0.2">
      <c r="A53" s="301"/>
      <c r="B53" s="326" t="s">
        <v>16</v>
      </c>
      <c r="C53" s="328" t="s">
        <v>13</v>
      </c>
      <c r="D53" s="326">
        <f>IF(C4&gt;=C6,C9+H56,C9-H56)</f>
        <v>7.98</v>
      </c>
      <c r="E53" s="328" t="s">
        <v>1</v>
      </c>
      <c r="F53" s="371" t="s">
        <v>18</v>
      </c>
      <c r="G53" s="328" t="s">
        <v>13</v>
      </c>
      <c r="H53" s="327">
        <f>IF(C4&gt;=C6,C11-H56,C11+H56)</f>
        <v>8.120000000000001</v>
      </c>
      <c r="I53" s="328" t="s">
        <v>1</v>
      </c>
      <c r="J53" s="328"/>
      <c r="K53" s="328"/>
      <c r="L53" s="372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301"/>
    </row>
    <row r="54" spans="1:52" x14ac:dyDescent="0.2">
      <c r="A54" s="301"/>
      <c r="B54" s="352" t="s">
        <v>20</v>
      </c>
      <c r="C54" s="328" t="s">
        <v>13</v>
      </c>
      <c r="D54" s="373">
        <f>(C4+C6)/2</f>
        <v>7.6899999999999995</v>
      </c>
      <c r="E54" s="328" t="s">
        <v>1</v>
      </c>
      <c r="F54" s="352" t="s">
        <v>12</v>
      </c>
      <c r="G54" s="328" t="s">
        <v>13</v>
      </c>
      <c r="H54" s="327">
        <f>IF(C4&gt;=C6,C4,C6)</f>
        <v>7.78</v>
      </c>
      <c r="I54" s="328" t="s">
        <v>1</v>
      </c>
      <c r="J54" s="372"/>
      <c r="K54" s="372"/>
      <c r="L54" s="372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301"/>
    </row>
    <row r="55" spans="1:52" x14ac:dyDescent="0.2">
      <c r="A55" s="301"/>
      <c r="B55" s="352" t="s">
        <v>21</v>
      </c>
      <c r="C55" s="328" t="s">
        <v>13</v>
      </c>
      <c r="D55" s="373">
        <f>SUM(C8:C11)/4</f>
        <v>8.0500000000000007</v>
      </c>
      <c r="E55" s="328" t="s">
        <v>1</v>
      </c>
      <c r="F55" s="352" t="s">
        <v>14</v>
      </c>
      <c r="G55" s="328" t="s">
        <v>13</v>
      </c>
      <c r="H55" s="329">
        <f>IF(C4&gt;=C6,(C8+C9)/2+H56,(C10+C11)/2+H56)</f>
        <v>7.98</v>
      </c>
      <c r="I55" s="328" t="s">
        <v>1</v>
      </c>
      <c r="J55" s="372"/>
      <c r="K55" s="372"/>
      <c r="L55" s="372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301"/>
    </row>
    <row r="56" spans="1:52" x14ac:dyDescent="0.2">
      <c r="A56" s="301"/>
      <c r="B56" s="328" t="s">
        <v>142</v>
      </c>
      <c r="C56" s="328"/>
      <c r="D56" s="352">
        <f>RADIANS(C7)</f>
        <v>0.52359877559829882</v>
      </c>
      <c r="E56" s="328"/>
      <c r="F56" s="352" t="s">
        <v>194</v>
      </c>
      <c r="G56" s="328" t="s">
        <v>13</v>
      </c>
      <c r="H56" s="327">
        <f>IF(C4&gt;=C6,C4-C6,C6-C4)</f>
        <v>0.1800000000000006</v>
      </c>
      <c r="I56" s="328" t="s">
        <v>1</v>
      </c>
      <c r="J56" s="372"/>
      <c r="K56" s="372"/>
      <c r="L56" s="372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301" t="s">
        <v>2</v>
      </c>
    </row>
    <row r="57" spans="1:52" ht="18.75" x14ac:dyDescent="0.3">
      <c r="A57" s="301"/>
      <c r="B57" s="326" t="s">
        <v>195</v>
      </c>
      <c r="C57" s="374">
        <f>C7</f>
        <v>30</v>
      </c>
      <c r="D57" s="375">
        <f>IF(D54&lt;D55,1/SIN(D56)*SQRT(1-(D54*D54)/(D55*D55)),1/SIN(D56)*SQRT((D54*D54)/(D55*D55)-1)*(-1))</f>
        <v>0.59140872819510293</v>
      </c>
      <c r="E57" s="372"/>
      <c r="F57" s="326" t="s">
        <v>196</v>
      </c>
      <c r="G57" s="372" t="s">
        <v>13</v>
      </c>
      <c r="H57" s="376">
        <f>IF(C57&lt;30,ROUND(D57+0.1,3),ROUND(D57,3))</f>
        <v>0.59099999999999997</v>
      </c>
      <c r="I57" s="372"/>
      <c r="J57" s="372"/>
      <c r="K57" s="372"/>
      <c r="L57" s="372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301"/>
    </row>
    <row r="58" spans="1:52" ht="18.75" x14ac:dyDescent="0.3">
      <c r="A58" s="301"/>
      <c r="B58" s="326" t="s">
        <v>197</v>
      </c>
      <c r="C58" s="374">
        <f>C7</f>
        <v>30</v>
      </c>
      <c r="D58" s="375">
        <f>ROUND(IF(H54&lt;H55,1/SIN(D56)*SQRT(1-(H54*H54)/(H55*H55)),1/SIN(D56)*SQRT((H54*H54)/(H55*H55)-1)*(-1)),3)</f>
        <v>0.44500000000000001</v>
      </c>
      <c r="E58" s="372"/>
      <c r="F58" s="326" t="s">
        <v>198</v>
      </c>
      <c r="G58" s="372" t="s">
        <v>13</v>
      </c>
      <c r="H58" s="376">
        <f>IF(C58&lt;30,ROUND(D58+0.1,3),ROUND(D58,3))</f>
        <v>0.44500000000000001</v>
      </c>
      <c r="I58" s="372"/>
      <c r="J58" s="372"/>
      <c r="K58" s="372"/>
      <c r="L58" s="372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301"/>
    </row>
    <row r="59" spans="1:52" x14ac:dyDescent="0.2">
      <c r="A59" s="301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301"/>
    </row>
    <row r="60" spans="1:52" x14ac:dyDescent="0.2">
      <c r="A60" s="301"/>
      <c r="B60" s="327" t="s">
        <v>158</v>
      </c>
      <c r="C60" s="328"/>
      <c r="D60" s="328"/>
      <c r="E60" s="328"/>
      <c r="F60" s="328"/>
      <c r="G60" s="377"/>
      <c r="H60" s="328"/>
      <c r="I60" s="328"/>
      <c r="J60" s="328"/>
      <c r="K60" s="328"/>
      <c r="L60" s="372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301"/>
    </row>
    <row r="61" spans="1:52" ht="18.75" x14ac:dyDescent="0.3">
      <c r="A61" s="301"/>
      <c r="B61" s="326" t="s">
        <v>196</v>
      </c>
      <c r="C61" s="328" t="s">
        <v>13</v>
      </c>
      <c r="D61" s="378">
        <f>H57</f>
        <v>0.59099999999999997</v>
      </c>
      <c r="E61" s="379" t="s">
        <v>47</v>
      </c>
      <c r="F61" s="328"/>
      <c r="G61" s="377" t="str">
        <f>IF(D57&lt;0.3,IF(D57&lt;0,"versteilende Hornhaut","geringe HH-Abflachung"),IF(D57&gt;0.7,"starke Abflachung /Keratokonus?","normale HH-Abflachung"))</f>
        <v>normale HH-Abflachung</v>
      </c>
      <c r="H61" s="328"/>
      <c r="I61" s="328"/>
      <c r="J61" s="328"/>
      <c r="K61" s="328"/>
      <c r="L61" s="372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301"/>
    </row>
    <row r="62" spans="1:52" ht="18.75" x14ac:dyDescent="0.3">
      <c r="A62" s="301"/>
      <c r="B62" s="326" t="s">
        <v>199</v>
      </c>
      <c r="C62" s="328" t="s">
        <v>13</v>
      </c>
      <c r="D62" s="377">
        <f>IF(H57&gt;=0.3,((INT(H57*10))+1)/10,IF(H57&lt;(-0.299),(INT(H57*10)+1)/10,0))</f>
        <v>0.6</v>
      </c>
      <c r="E62" s="379" t="s">
        <v>47</v>
      </c>
      <c r="F62" s="328"/>
      <c r="G62" s="377" t="s">
        <v>35</v>
      </c>
      <c r="H62" s="328"/>
      <c r="I62" s="377" t="str">
        <f>IF(D57&lt;0.3,IF(D57&lt;(-0.299),"oblonge Geometrie","sphärische Geometrie"),"asphärische Geometrie")</f>
        <v>asphärische Geometrie</v>
      </c>
      <c r="J62" s="328"/>
      <c r="K62" s="328"/>
      <c r="L62" s="372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301"/>
    </row>
    <row r="63" spans="1:52" x14ac:dyDescent="0.2">
      <c r="A63" s="301"/>
      <c r="B63" s="327"/>
      <c r="C63" s="328"/>
      <c r="D63" s="328"/>
      <c r="E63" s="328"/>
      <c r="F63" s="328"/>
      <c r="G63" s="328"/>
      <c r="H63" s="328"/>
      <c r="I63" s="328"/>
      <c r="J63" s="328"/>
      <c r="K63" s="328"/>
      <c r="L63" s="372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301"/>
    </row>
    <row r="64" spans="1:52" x14ac:dyDescent="0.2">
      <c r="A64" s="301"/>
      <c r="B64" s="327" t="s">
        <v>159</v>
      </c>
      <c r="C64" s="328"/>
      <c r="D64" s="328"/>
      <c r="E64" s="328"/>
      <c r="F64" s="328"/>
      <c r="G64" s="328"/>
      <c r="H64" s="328"/>
      <c r="I64" s="328"/>
      <c r="J64" s="328"/>
      <c r="K64" s="328"/>
      <c r="L64" s="372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301"/>
    </row>
    <row r="65" spans="1:52" ht="18.75" x14ac:dyDescent="0.3">
      <c r="A65" s="301"/>
      <c r="B65" s="326" t="s">
        <v>200</v>
      </c>
      <c r="C65" s="328" t="s">
        <v>13</v>
      </c>
      <c r="D65" s="376">
        <f>H58</f>
        <v>0.44500000000000001</v>
      </c>
      <c r="E65" s="328"/>
      <c r="F65" s="328"/>
      <c r="G65" s="326" t="s">
        <v>199</v>
      </c>
      <c r="H65" s="328" t="s">
        <v>13</v>
      </c>
      <c r="I65" s="377">
        <f>D62</f>
        <v>0.6</v>
      </c>
      <c r="J65" s="352" t="s">
        <v>201</v>
      </c>
      <c r="K65" s="380">
        <f>IF(I65=0,0,I65*10)</f>
        <v>6</v>
      </c>
      <c r="L65" s="372">
        <f>I65*10</f>
        <v>6</v>
      </c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3"/>
      <c r="AZ65" s="301"/>
    </row>
    <row r="66" spans="1:52" x14ac:dyDescent="0.2">
      <c r="A66" s="301"/>
      <c r="B66" s="292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292"/>
      <c r="AZ66" s="301"/>
    </row>
  </sheetData>
  <sheetProtection password="CDCE" sheet="1" objects="1" scenarios="1" selectLockedCells="1"/>
  <dataValidations count="4">
    <dataValidation type="decimal" allowBlank="1" showInputMessage="1" showErrorMessage="1" error="Zentralradien zwischen 4 und 12 mm einegeben." sqref="C4 C6" xr:uid="{00000000-0002-0000-0800-000000000000}">
      <formula1>4</formula1>
      <formula2>12</formula2>
    </dataValidation>
    <dataValidation type="whole" allowBlank="1" showInputMessage="1" showErrorMessage="1" error="Messwinkel-Eingabe von 30°, 25° oder 20° erlaubt." prompt="Messwinkel 30°, 25° oder 20° eingeben." sqref="C7" xr:uid="{00000000-0002-0000-0800-000001000000}">
      <formula1>20</formula1>
      <formula2>30</formula2>
    </dataValidation>
    <dataValidation type="decimal" allowBlank="1" showInputMessage="1" showErrorMessage="1" error="Sagittalradien zwischen 5 und 12 mm erlaubt." sqref="C8:C11" xr:uid="{00000000-0002-0000-0800-000002000000}">
      <formula1>5</formula1>
      <formula2>12</formula2>
    </dataValidation>
    <dataValidation type="whole" allowBlank="1" showInputMessage="1" showErrorMessage="1" error="Horizontale Achseingabe zwischen 0° und 45° oder zwischen 135° und 180° eingeben." prompt="Achse des horizontalen Zentralradius eingeben._x000a_D.h. zwischen 0° und 45° oder 135° bis 180°." sqref="C5" xr:uid="{00000000-0002-0000-0800-000003000000}">
      <formula1>0</formula1>
      <formula2>180</formula2>
    </dataValidation>
  </dataValidations>
  <hyperlinks>
    <hyperlink ref="D2:V2" r:id="rId1" display="Download neuste Version" xr:uid="{00000000-0004-0000-0800-000000000000}"/>
  </hyperlinks>
  <pageMargins left="0.7" right="0.7" top="0.78740157499999996" bottom="0.78740157499999996" header="0.3" footer="0.3"/>
  <pageSetup paperSize="9" orientation="portrait" r:id="rId2"/>
  <ignoredErrors>
    <ignoredError sqref="D5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"/>
  <sheetViews>
    <sheetView showRowColHeaders="0" workbookViewId="0">
      <selection activeCell="B5" sqref="B5"/>
    </sheetView>
  </sheetViews>
  <sheetFormatPr baseColWidth="10" defaultColWidth="11.42578125" defaultRowHeight="12.75" x14ac:dyDescent="0.2"/>
  <cols>
    <col min="1" max="1" width="11.42578125" style="275"/>
    <col min="2" max="2" width="52.42578125" style="275" customWidth="1"/>
    <col min="3" max="16384" width="11.42578125" style="275"/>
  </cols>
  <sheetData>
    <row r="1" spans="1:2" x14ac:dyDescent="0.2">
      <c r="A1" s="301"/>
    </row>
    <row r="5" spans="1:2" ht="30" x14ac:dyDescent="0.2">
      <c r="B5" s="308" t="s">
        <v>185</v>
      </c>
    </row>
  </sheetData>
  <sheetProtection algorithmName="SHA-512" hashValue="uXF+4efEnxr9e7bIPKuaeCXOlAxid6dDVav+CsAlWhq9v3NZVQs+Kx7hH3S/VPZoM6g4nZvPtVM5OgXrK7t2fA==" saltValue="UrHOsqxFK1eMJg5hCPMTWA==" spinCount="100000" sheet="1" objects="1" scenarios="1" selectLockedCells="1"/>
  <hyperlinks>
    <hyperlink ref="B5" r:id="rId1" xr:uid="{00000000-0004-0000-09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R73"/>
  <sheetViews>
    <sheetView showGridLines="0" showRowColHeaders="0" showRuler="0" showWhiteSpace="0" zoomScaleNormal="100" zoomScalePageLayoutView="120" workbookViewId="0">
      <selection activeCell="E36" sqref="E36"/>
    </sheetView>
  </sheetViews>
  <sheetFormatPr baseColWidth="10" defaultColWidth="11.42578125" defaultRowHeight="12.75" x14ac:dyDescent="0.2"/>
  <cols>
    <col min="1" max="1" width="1.7109375" style="53" customWidth="1"/>
    <col min="2" max="2" width="2.85546875" style="53" customWidth="1"/>
    <col min="3" max="3" width="1.140625" style="53" customWidth="1"/>
    <col min="4" max="4" width="13" style="53" customWidth="1"/>
    <col min="5" max="5" width="8.140625" style="53" customWidth="1"/>
    <col min="6" max="6" width="7.140625" style="53" customWidth="1"/>
    <col min="7" max="7" width="6.42578125" style="53" customWidth="1"/>
    <col min="8" max="8" width="5.7109375" style="53" customWidth="1"/>
    <col min="9" max="9" width="7.28515625" style="53" customWidth="1"/>
    <col min="10" max="10" width="7" style="53" customWidth="1"/>
    <col min="11" max="11" width="8.28515625" style="53" customWidth="1"/>
    <col min="12" max="12" width="7.5703125" style="53" customWidth="1"/>
    <col min="13" max="13" width="4.7109375" style="53" customWidth="1"/>
    <col min="14" max="14" width="2.28515625" style="53" customWidth="1"/>
    <col min="15" max="15" width="1.140625" style="53" customWidth="1"/>
    <col min="16" max="16" width="7.85546875" style="53" customWidth="1"/>
    <col min="17" max="17" width="9.28515625" style="53" customWidth="1"/>
    <col min="18" max="18" width="4.140625" style="53" customWidth="1"/>
    <col min="19" max="19" width="7" style="53" customWidth="1"/>
    <col min="20" max="20" width="7.140625" style="53" customWidth="1"/>
    <col min="21" max="21" width="3.42578125" style="53" customWidth="1"/>
    <col min="22" max="22" width="11" style="53" customWidth="1"/>
    <col min="23" max="23" width="11.28515625" style="53" customWidth="1"/>
    <col min="24" max="24" width="6.5703125" style="53" customWidth="1"/>
    <col min="25" max="25" width="4.140625" style="53" customWidth="1"/>
    <col min="26" max="26" width="2" style="53" customWidth="1"/>
    <col min="27" max="27" width="3.5703125" style="53" customWidth="1"/>
    <col min="28" max="16384" width="11.42578125" style="53"/>
  </cols>
  <sheetData>
    <row r="1" spans="1:16" ht="24" customHeight="1" x14ac:dyDescent="0.2">
      <c r="A1" s="485"/>
      <c r="B1" s="58"/>
      <c r="C1" s="57" t="s">
        <v>217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430"/>
      <c r="O1" s="430"/>
      <c r="P1" s="56"/>
    </row>
    <row r="2" spans="1:16" ht="9" customHeight="1" x14ac:dyDescent="0.2">
      <c r="A2" s="431"/>
      <c r="B2" s="409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432"/>
    </row>
    <row r="3" spans="1:16" x14ac:dyDescent="0.2">
      <c r="A3" s="431"/>
      <c r="B3" s="383"/>
      <c r="C3" s="384" t="s">
        <v>71</v>
      </c>
      <c r="D3" s="382"/>
      <c r="E3" s="382"/>
      <c r="F3" s="382"/>
      <c r="G3" s="382"/>
      <c r="H3" s="382"/>
      <c r="I3" s="382"/>
      <c r="J3" s="384" t="s">
        <v>72</v>
      </c>
      <c r="K3" s="384"/>
      <c r="L3" s="382"/>
      <c r="M3" s="382"/>
      <c r="N3" s="382"/>
      <c r="O3" s="382"/>
      <c r="P3" s="433"/>
    </row>
    <row r="4" spans="1:16" x14ac:dyDescent="0.2">
      <c r="A4" s="431"/>
      <c r="B4" s="383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433"/>
    </row>
    <row r="5" spans="1:16" ht="15" x14ac:dyDescent="0.2">
      <c r="A5" s="431"/>
      <c r="B5" s="383"/>
      <c r="C5" s="382"/>
      <c r="D5" s="483">
        <f>SRM!C11</f>
        <v>7.34</v>
      </c>
      <c r="E5" s="384" t="s">
        <v>286</v>
      </c>
      <c r="F5" s="382"/>
      <c r="G5" s="386">
        <f>SRM!F4</f>
        <v>-2</v>
      </c>
      <c r="H5" s="387">
        <f>SRM!F5</f>
        <v>-3</v>
      </c>
      <c r="I5" s="388">
        <f>SRM!F6</f>
        <v>0</v>
      </c>
      <c r="J5" s="389" t="s">
        <v>4</v>
      </c>
      <c r="K5" s="382"/>
      <c r="L5" s="382"/>
      <c r="M5" s="382"/>
      <c r="N5" s="382"/>
      <c r="O5" s="382"/>
      <c r="P5" s="433"/>
    </row>
    <row r="6" spans="1:16" x14ac:dyDescent="0.2">
      <c r="A6" s="431"/>
      <c r="B6" s="383"/>
      <c r="C6" s="382"/>
      <c r="D6" s="398"/>
      <c r="E6" s="382"/>
      <c r="F6" s="382"/>
      <c r="G6" s="382"/>
      <c r="H6" s="382"/>
      <c r="I6" s="382"/>
      <c r="J6" s="382"/>
      <c r="K6" s="52" t="s">
        <v>77</v>
      </c>
      <c r="L6" s="390">
        <f>SRM!C12</f>
        <v>30</v>
      </c>
      <c r="M6" s="391" t="s">
        <v>4</v>
      </c>
      <c r="N6" s="382"/>
      <c r="O6" s="382"/>
      <c r="P6" s="433"/>
    </row>
    <row r="7" spans="1:16" x14ac:dyDescent="0.2">
      <c r="A7" s="431"/>
      <c r="B7" s="383"/>
      <c r="C7" s="382"/>
      <c r="D7" s="382"/>
      <c r="E7" s="382"/>
      <c r="F7" s="382"/>
      <c r="G7" s="382"/>
      <c r="H7" s="382"/>
      <c r="I7" s="382"/>
      <c r="J7" s="382"/>
      <c r="K7" s="52" t="s">
        <v>73</v>
      </c>
      <c r="L7" s="386">
        <f>SRM!C13</f>
        <v>7.66</v>
      </c>
      <c r="M7" s="389" t="s">
        <v>1</v>
      </c>
      <c r="N7" s="382"/>
      <c r="O7" s="382"/>
      <c r="P7" s="433"/>
    </row>
    <row r="8" spans="1:16" x14ac:dyDescent="0.2">
      <c r="A8" s="431"/>
      <c r="B8" s="383"/>
      <c r="C8" s="382"/>
      <c r="D8" s="382"/>
      <c r="E8" s="382"/>
      <c r="F8" s="382"/>
      <c r="G8" s="382"/>
      <c r="H8" s="392"/>
      <c r="I8" s="382"/>
      <c r="J8" s="382"/>
      <c r="K8" s="52" t="s">
        <v>74</v>
      </c>
      <c r="L8" s="386">
        <f>SRM!C14</f>
        <v>7.48</v>
      </c>
      <c r="M8" s="389" t="s">
        <v>1</v>
      </c>
      <c r="N8" s="382"/>
      <c r="O8" s="382"/>
      <c r="P8" s="433"/>
    </row>
    <row r="9" spans="1:16" x14ac:dyDescent="0.2">
      <c r="A9" s="431"/>
      <c r="B9" s="383"/>
      <c r="C9" s="382"/>
      <c r="D9" s="382"/>
      <c r="E9" s="382"/>
      <c r="F9" s="382"/>
      <c r="G9" s="382"/>
      <c r="H9" s="382"/>
      <c r="I9" s="382"/>
      <c r="J9" s="382"/>
      <c r="K9" s="52" t="s">
        <v>75</v>
      </c>
      <c r="L9" s="386">
        <f>SRM!C15</f>
        <v>7.93</v>
      </c>
      <c r="M9" s="389" t="s">
        <v>1</v>
      </c>
      <c r="N9" s="382"/>
      <c r="O9" s="382"/>
      <c r="P9" s="433"/>
    </row>
    <row r="10" spans="1:16" ht="15" x14ac:dyDescent="0.2">
      <c r="A10" s="431"/>
      <c r="B10" s="383"/>
      <c r="C10" s="382"/>
      <c r="D10" s="484">
        <f>SRM!C9</f>
        <v>7.81</v>
      </c>
      <c r="E10" s="393">
        <f>SRM!C10</f>
        <v>0</v>
      </c>
      <c r="F10" s="394" t="s">
        <v>4</v>
      </c>
      <c r="G10" s="382"/>
      <c r="H10" s="382"/>
      <c r="I10" s="382"/>
      <c r="J10" s="382"/>
      <c r="K10" s="52" t="s">
        <v>76</v>
      </c>
      <c r="L10" s="386">
        <f>SRM!C16</f>
        <v>8.06</v>
      </c>
      <c r="M10" s="389" t="s">
        <v>1</v>
      </c>
      <c r="N10" s="382"/>
      <c r="O10" s="382"/>
      <c r="P10" s="433"/>
    </row>
    <row r="11" spans="1:16" x14ac:dyDescent="0.2">
      <c r="A11" s="431"/>
      <c r="B11" s="383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433"/>
    </row>
    <row r="12" spans="1:16" ht="4.5" customHeight="1" x14ac:dyDescent="0.2">
      <c r="A12" s="431"/>
      <c r="B12" s="383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433"/>
    </row>
    <row r="13" spans="1:16" x14ac:dyDescent="0.2">
      <c r="A13" s="431"/>
      <c r="B13" s="52" t="s">
        <v>78</v>
      </c>
      <c r="C13" s="389"/>
      <c r="D13" s="395" t="s">
        <v>19</v>
      </c>
      <c r="E13" s="382"/>
      <c r="F13" s="383" t="str">
        <f>SRM!F9</f>
        <v>normale</v>
      </c>
      <c r="G13" s="382" t="str">
        <f>SRM!G9</f>
        <v>Zentralradien</v>
      </c>
      <c r="H13" s="382"/>
      <c r="I13" s="382"/>
      <c r="J13" s="389" t="s">
        <v>204</v>
      </c>
      <c r="K13" s="382"/>
      <c r="L13" s="382"/>
      <c r="M13" s="382"/>
      <c r="N13" s="382"/>
      <c r="O13" s="382"/>
      <c r="P13" s="433"/>
    </row>
    <row r="14" spans="1:16" ht="4.5" customHeight="1" x14ac:dyDescent="0.2">
      <c r="A14" s="431"/>
      <c r="B14" s="383"/>
      <c r="C14" s="382"/>
      <c r="D14" s="382"/>
      <c r="E14" s="382"/>
      <c r="F14" s="382"/>
      <c r="G14" s="382"/>
      <c r="H14" s="383"/>
      <c r="I14" s="382"/>
      <c r="J14" s="382"/>
      <c r="K14" s="382"/>
      <c r="L14" s="382"/>
      <c r="M14" s="382"/>
      <c r="N14" s="382"/>
      <c r="O14" s="382"/>
      <c r="P14" s="433"/>
    </row>
    <row r="15" spans="1:16" x14ac:dyDescent="0.2">
      <c r="A15" s="431"/>
      <c r="B15" s="52" t="s">
        <v>79</v>
      </c>
      <c r="C15" s="389"/>
      <c r="D15" s="384" t="s">
        <v>22</v>
      </c>
      <c r="E15" s="382"/>
      <c r="F15" s="383" t="str">
        <f>SRM!F10</f>
        <v>stark</v>
      </c>
      <c r="G15" s="382" t="str">
        <f>SRM!G10</f>
        <v>torische Hornhaut</v>
      </c>
      <c r="H15" s="382"/>
      <c r="I15" s="382"/>
      <c r="J15" s="389" t="s">
        <v>216</v>
      </c>
      <c r="K15" s="382"/>
      <c r="L15" s="382"/>
      <c r="M15" s="382"/>
      <c r="N15" s="382"/>
      <c r="O15" s="382"/>
      <c r="P15" s="433"/>
    </row>
    <row r="16" spans="1:16" ht="5.25" customHeight="1" x14ac:dyDescent="0.2">
      <c r="A16" s="431"/>
      <c r="B16" s="383"/>
      <c r="C16" s="382"/>
      <c r="D16" s="382"/>
      <c r="E16" s="382"/>
      <c r="F16" s="389"/>
      <c r="G16" s="382"/>
      <c r="H16" s="382"/>
      <c r="I16" s="382"/>
      <c r="J16" s="382"/>
      <c r="K16" s="382"/>
      <c r="L16" s="382"/>
      <c r="M16" s="382"/>
      <c r="N16" s="382"/>
      <c r="O16" s="382"/>
      <c r="P16" s="433"/>
    </row>
    <row r="17" spans="1:16" x14ac:dyDescent="0.2">
      <c r="A17" s="431"/>
      <c r="B17" s="52" t="s">
        <v>80</v>
      </c>
      <c r="C17" s="389"/>
      <c r="D17" s="384" t="s">
        <v>206</v>
      </c>
      <c r="E17" s="382"/>
      <c r="F17" s="381" t="s">
        <v>137</v>
      </c>
      <c r="G17" s="396">
        <f>SRM!F11</f>
        <v>-2.8199999999999985</v>
      </c>
      <c r="H17" s="382">
        <f>SRM!G11</f>
        <v>0</v>
      </c>
      <c r="I17" s="389" t="s">
        <v>4</v>
      </c>
      <c r="J17" s="382"/>
      <c r="K17" s="52" t="s">
        <v>138</v>
      </c>
      <c r="L17" s="396">
        <f>SRM!F12</f>
        <v>-3</v>
      </c>
      <c r="M17" s="382">
        <f>SRM!G12</f>
        <v>0</v>
      </c>
      <c r="N17" s="389" t="s">
        <v>4</v>
      </c>
      <c r="O17" s="382"/>
      <c r="P17" s="433"/>
    </row>
    <row r="18" spans="1:16" x14ac:dyDescent="0.2">
      <c r="A18" s="431"/>
      <c r="B18" s="383"/>
      <c r="C18" s="382"/>
      <c r="D18" s="389" t="s">
        <v>170</v>
      </c>
      <c r="E18" s="382"/>
      <c r="F18" s="381" t="s">
        <v>139</v>
      </c>
      <c r="G18" s="396">
        <f>SRM!F13</f>
        <v>-0.18000000000000149</v>
      </c>
      <c r="H18" s="382">
        <f>SRM!G13</f>
        <v>0</v>
      </c>
      <c r="I18" s="389" t="s">
        <v>4</v>
      </c>
      <c r="J18" s="382"/>
      <c r="K18" s="52"/>
      <c r="L18" s="382"/>
      <c r="M18" s="382"/>
      <c r="N18" s="382"/>
      <c r="O18" s="382"/>
      <c r="P18" s="433"/>
    </row>
    <row r="19" spans="1:16" x14ac:dyDescent="0.2">
      <c r="A19" s="431"/>
      <c r="B19" s="383"/>
      <c r="C19" s="382"/>
      <c r="D19" s="384" t="s">
        <v>140</v>
      </c>
      <c r="E19" s="382"/>
      <c r="F19" s="382" t="str">
        <f>SRM!R5</f>
        <v>BTC - bitorischkompensierte HL</v>
      </c>
      <c r="G19" s="382"/>
      <c r="H19" s="382"/>
      <c r="I19" s="382"/>
      <c r="J19" s="51"/>
      <c r="K19" s="51"/>
      <c r="L19" s="396"/>
      <c r="M19" s="382"/>
      <c r="N19" s="382"/>
      <c r="O19" s="382"/>
      <c r="P19" s="433"/>
    </row>
    <row r="20" spans="1:16" x14ac:dyDescent="0.2">
      <c r="A20" s="431"/>
      <c r="B20" s="383"/>
      <c r="C20" s="382"/>
      <c r="D20" s="389" t="s">
        <v>166</v>
      </c>
      <c r="E20" s="382"/>
      <c r="F20" s="382" t="str">
        <f>SRM!R6</f>
        <v>IA &lt; GA  -&gt; Hartlinsenvorteil</v>
      </c>
      <c r="G20" s="382"/>
      <c r="H20" s="382"/>
      <c r="I20" s="382"/>
      <c r="J20" s="51"/>
      <c r="K20" s="51"/>
      <c r="L20" s="396"/>
      <c r="M20" s="382"/>
      <c r="N20" s="382"/>
      <c r="O20" s="382"/>
      <c r="P20" s="433"/>
    </row>
    <row r="21" spans="1:16" x14ac:dyDescent="0.2">
      <c r="A21" s="431"/>
      <c r="B21" s="383"/>
      <c r="C21" s="382"/>
      <c r="D21" s="382"/>
      <c r="E21" s="382"/>
      <c r="F21" s="382" t="str">
        <f>SRM!R7</f>
        <v>IA &lt;= 0,5  -&gt; sphärisch wirksame Linse</v>
      </c>
      <c r="G21" s="382"/>
      <c r="H21" s="382"/>
      <c r="I21" s="382"/>
      <c r="J21" s="51"/>
      <c r="K21" s="51"/>
      <c r="L21" s="396"/>
      <c r="M21" s="382"/>
      <c r="N21" s="382"/>
      <c r="O21" s="382"/>
      <c r="P21" s="433"/>
    </row>
    <row r="22" spans="1:16" x14ac:dyDescent="0.2">
      <c r="A22" s="431"/>
      <c r="B22" s="383"/>
      <c r="C22" s="382"/>
      <c r="D22" s="382"/>
      <c r="E22" s="382"/>
      <c r="F22" s="382" t="str">
        <f>SRM!R8</f>
        <v>Δ rc &gt;= 0,4  -&gt;  rücktorische Fläche</v>
      </c>
      <c r="G22" s="382"/>
      <c r="H22" s="382"/>
      <c r="I22" s="382"/>
      <c r="J22" s="51"/>
      <c r="K22" s="51"/>
      <c r="L22" s="396"/>
      <c r="M22" s="382"/>
      <c r="N22" s="382"/>
      <c r="O22" s="382"/>
      <c r="P22" s="433"/>
    </row>
    <row r="23" spans="1:16" ht="6.75" customHeight="1" x14ac:dyDescent="0.2">
      <c r="A23" s="431"/>
      <c r="B23" s="383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433"/>
    </row>
    <row r="24" spans="1:16" x14ac:dyDescent="0.2">
      <c r="A24" s="431"/>
      <c r="B24" s="52" t="s">
        <v>81</v>
      </c>
      <c r="C24" s="382"/>
      <c r="D24" s="384" t="s">
        <v>205</v>
      </c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433"/>
    </row>
    <row r="25" spans="1:16" x14ac:dyDescent="0.2">
      <c r="A25" s="431"/>
      <c r="B25" s="383"/>
      <c r="C25" s="382"/>
      <c r="D25" s="52" t="s">
        <v>82</v>
      </c>
      <c r="E25" s="434">
        <f>SRM!AJ10</f>
        <v>8.129999999999999</v>
      </c>
      <c r="F25" s="420" t="s">
        <v>1</v>
      </c>
      <c r="G25" s="54"/>
      <c r="H25" s="52" t="s">
        <v>85</v>
      </c>
      <c r="I25" s="434">
        <f>SRM!AN10</f>
        <v>7.46</v>
      </c>
      <c r="J25" s="420" t="s">
        <v>1</v>
      </c>
      <c r="K25" s="54"/>
      <c r="L25" s="54"/>
      <c r="M25" s="54"/>
      <c r="N25" s="54"/>
      <c r="O25" s="54"/>
      <c r="P25" s="432"/>
    </row>
    <row r="26" spans="1:16" x14ac:dyDescent="0.2">
      <c r="A26" s="431"/>
      <c r="B26" s="383"/>
      <c r="C26" s="382"/>
      <c r="D26" s="52" t="s">
        <v>83</v>
      </c>
      <c r="E26" s="434">
        <f>SRM!AJ11</f>
        <v>7.95</v>
      </c>
      <c r="F26" s="420" t="s">
        <v>1</v>
      </c>
      <c r="G26" s="54"/>
      <c r="H26" s="52" t="s">
        <v>86</v>
      </c>
      <c r="I26" s="434">
        <f>SRM!AN11</f>
        <v>7.5900000000000007</v>
      </c>
      <c r="J26" s="420" t="s">
        <v>1</v>
      </c>
      <c r="K26" s="54"/>
      <c r="L26" s="54"/>
      <c r="M26" s="54"/>
      <c r="N26" s="382"/>
      <c r="O26" s="382"/>
      <c r="P26" s="433"/>
    </row>
    <row r="27" spans="1:16" x14ac:dyDescent="0.2">
      <c r="A27" s="431"/>
      <c r="B27" s="383"/>
      <c r="C27" s="382"/>
      <c r="D27" s="384"/>
      <c r="E27" s="388"/>
      <c r="F27" s="382"/>
      <c r="G27" s="382"/>
      <c r="H27" s="382"/>
      <c r="I27" s="388"/>
      <c r="J27" s="51"/>
      <c r="K27" s="51"/>
      <c r="L27" s="396"/>
      <c r="M27" s="382"/>
      <c r="N27" s="382"/>
      <c r="O27" s="382"/>
      <c r="P27" s="433"/>
    </row>
    <row r="28" spans="1:16" x14ac:dyDescent="0.2">
      <c r="A28" s="431"/>
      <c r="B28" s="52" t="s">
        <v>84</v>
      </c>
      <c r="C28" s="382"/>
      <c r="D28" s="395" t="s">
        <v>27</v>
      </c>
      <c r="E28" s="388"/>
      <c r="F28" s="382"/>
      <c r="G28" s="382"/>
      <c r="H28" s="382"/>
      <c r="I28" s="388"/>
      <c r="J28" s="389" t="s">
        <v>169</v>
      </c>
      <c r="K28" s="389"/>
      <c r="L28" s="382"/>
      <c r="M28" s="390">
        <f>SRM!C12</f>
        <v>30</v>
      </c>
      <c r="N28" s="389" t="s">
        <v>4</v>
      </c>
      <c r="O28" s="382"/>
      <c r="P28" s="433"/>
    </row>
    <row r="29" spans="1:16" x14ac:dyDescent="0.2">
      <c r="A29" s="431"/>
      <c r="B29" s="383"/>
      <c r="C29" s="382"/>
      <c r="D29" s="52" t="s">
        <v>207</v>
      </c>
      <c r="E29" s="479">
        <f>SRM!AJ12</f>
        <v>7.5749999999999993</v>
      </c>
      <c r="F29" s="389" t="s">
        <v>1</v>
      </c>
      <c r="G29" s="54"/>
      <c r="H29" s="52" t="s">
        <v>208</v>
      </c>
      <c r="I29" s="479">
        <f>SRM!AJ13</f>
        <v>7.7825000000000006</v>
      </c>
      <c r="J29" s="389" t="s">
        <v>1</v>
      </c>
      <c r="K29" s="54"/>
      <c r="L29" s="382"/>
      <c r="M29" s="382"/>
      <c r="N29" s="382"/>
      <c r="O29" s="382"/>
      <c r="P29" s="433"/>
    </row>
    <row r="30" spans="1:16" ht="3.75" customHeight="1" x14ac:dyDescent="0.2">
      <c r="A30" s="431"/>
      <c r="B30" s="383"/>
      <c r="C30" s="382"/>
      <c r="D30" s="52"/>
      <c r="E30" s="414"/>
      <c r="F30" s="389"/>
      <c r="G30" s="54"/>
      <c r="H30" s="54"/>
      <c r="I30" s="52"/>
      <c r="J30" s="387"/>
      <c r="K30" s="389"/>
      <c r="L30" s="54"/>
      <c r="M30" s="54"/>
      <c r="N30" s="54"/>
      <c r="O30" s="54"/>
      <c r="P30" s="432"/>
    </row>
    <row r="31" spans="1:16" ht="15.75" customHeight="1" x14ac:dyDescent="0.3">
      <c r="A31" s="431"/>
      <c r="B31" s="383"/>
      <c r="C31" s="382"/>
      <c r="D31" s="50" t="s">
        <v>171</v>
      </c>
      <c r="E31" s="475">
        <f>SRM!AN15</f>
        <v>0.45900000000000002</v>
      </c>
      <c r="F31" s="406" t="str">
        <f>"----&gt;"</f>
        <v>----&gt;</v>
      </c>
      <c r="G31" s="54" t="str">
        <f>SRM!AM19</f>
        <v>normale HH-Abflachung</v>
      </c>
      <c r="H31" s="52"/>
      <c r="I31" s="382"/>
      <c r="J31" s="54"/>
      <c r="K31" s="54"/>
      <c r="L31" s="54"/>
      <c r="M31" s="54"/>
      <c r="N31" s="54"/>
      <c r="O31" s="54"/>
      <c r="P31" s="432"/>
    </row>
    <row r="32" spans="1:16" ht="14.25" customHeight="1" x14ac:dyDescent="0.3">
      <c r="A32" s="431"/>
      <c r="B32" s="383"/>
      <c r="C32" s="382"/>
      <c r="D32" s="50" t="s">
        <v>173</v>
      </c>
      <c r="E32" s="480">
        <f>SRM!AJ20</f>
        <v>0.5</v>
      </c>
      <c r="F32" s="406" t="str">
        <f>"&lt;---&gt;"</f>
        <v>&lt;---&gt;</v>
      </c>
      <c r="G32" s="381" t="s">
        <v>35</v>
      </c>
      <c r="H32" s="54"/>
      <c r="I32" s="382" t="str">
        <f>SRM!AO20</f>
        <v>asphärische Geometrie</v>
      </c>
      <c r="J32" s="54"/>
      <c r="K32" s="382"/>
      <c r="L32" s="54"/>
      <c r="M32" s="54"/>
      <c r="N32" s="54"/>
      <c r="O32" s="382"/>
      <c r="P32" s="432"/>
    </row>
    <row r="33" spans="1:18" ht="12" customHeight="1" x14ac:dyDescent="0.2">
      <c r="A33" s="431"/>
      <c r="B33" s="383"/>
      <c r="C33" s="382"/>
      <c r="D33" s="382"/>
      <c r="E33" s="382"/>
      <c r="F33" s="398"/>
      <c r="G33" s="382"/>
      <c r="H33" s="382"/>
      <c r="I33" s="382"/>
      <c r="J33" s="382"/>
      <c r="K33" s="382"/>
      <c r="L33" s="382"/>
      <c r="M33" s="382"/>
      <c r="N33" s="382"/>
      <c r="O33" s="382"/>
      <c r="P33" s="433"/>
    </row>
    <row r="34" spans="1:18" x14ac:dyDescent="0.2">
      <c r="A34" s="431"/>
      <c r="B34" s="52" t="s">
        <v>87</v>
      </c>
      <c r="C34" s="382"/>
      <c r="D34" s="395" t="s">
        <v>88</v>
      </c>
      <c r="E34" s="382"/>
      <c r="F34" s="398"/>
      <c r="G34" s="382"/>
      <c r="H34" s="382"/>
      <c r="I34" s="398"/>
      <c r="J34" s="382"/>
      <c r="K34" s="382"/>
      <c r="L34" s="382"/>
      <c r="M34" s="382"/>
      <c r="N34" s="382"/>
      <c r="O34" s="382"/>
      <c r="P34" s="433"/>
    </row>
    <row r="35" spans="1:18" x14ac:dyDescent="0.2">
      <c r="A35" s="431"/>
      <c r="B35" s="383"/>
      <c r="C35" s="382"/>
      <c r="D35" s="52" t="s">
        <v>209</v>
      </c>
      <c r="E35" s="414">
        <f>SRM!AN12</f>
        <v>7.81</v>
      </c>
      <c r="F35" s="389" t="s">
        <v>1</v>
      </c>
      <c r="G35" s="54"/>
      <c r="H35" s="52" t="s">
        <v>210</v>
      </c>
      <c r="I35" s="479">
        <f>SRM!AN13</f>
        <v>8.0399999999999991</v>
      </c>
      <c r="J35" s="389" t="s">
        <v>1</v>
      </c>
      <c r="K35" s="54"/>
      <c r="L35" s="382"/>
      <c r="M35" s="382"/>
      <c r="N35" s="382"/>
      <c r="O35" s="382"/>
      <c r="P35" s="433"/>
    </row>
    <row r="36" spans="1:18" ht="18.75" x14ac:dyDescent="0.2">
      <c r="A36" s="431"/>
      <c r="B36" s="383"/>
      <c r="C36" s="382"/>
      <c r="D36" s="396" t="s">
        <v>172</v>
      </c>
      <c r="E36" s="475">
        <f>SRM!AN16</f>
        <v>0.47499999999999998</v>
      </c>
      <c r="F36" s="406" t="str">
        <f>"----&gt;"</f>
        <v>----&gt;</v>
      </c>
      <c r="G36" s="382"/>
      <c r="H36" s="396" t="str">
        <f>SRM!AM24</f>
        <v>ro (Gleichlauf)</v>
      </c>
      <c r="I36" s="414">
        <f>SRM!AO24</f>
        <v>7.7924999999999995</v>
      </c>
      <c r="J36" s="399" t="s">
        <v>1</v>
      </c>
      <c r="K36" s="382"/>
      <c r="L36" s="382"/>
      <c r="M36" s="382"/>
      <c r="N36" s="382"/>
      <c r="O36" s="382"/>
      <c r="P36" s="433"/>
    </row>
    <row r="37" spans="1:18" ht="6" customHeight="1" x14ac:dyDescent="0.2">
      <c r="A37" s="431"/>
      <c r="B37" s="383"/>
      <c r="C37" s="382"/>
      <c r="D37" s="382"/>
      <c r="E37" s="382"/>
      <c r="F37" s="398"/>
      <c r="G37" s="382"/>
      <c r="H37" s="382"/>
      <c r="I37" s="382"/>
      <c r="J37" s="383"/>
      <c r="K37" s="383"/>
      <c r="L37" s="382"/>
      <c r="M37" s="382"/>
      <c r="N37" s="382"/>
      <c r="O37" s="382"/>
      <c r="P37" s="433"/>
    </row>
    <row r="38" spans="1:18" x14ac:dyDescent="0.2">
      <c r="A38" s="431"/>
      <c r="B38" s="383"/>
      <c r="C38" s="382"/>
      <c r="D38" s="395" t="s">
        <v>91</v>
      </c>
      <c r="E38" s="382"/>
      <c r="F38" s="398" t="str">
        <f>SRM!AK29</f>
        <v>Steilanpassung  (RS-Linse)</v>
      </c>
      <c r="G38" s="382"/>
      <c r="H38" s="382"/>
      <c r="I38" s="382"/>
      <c r="J38" s="52" t="s">
        <v>92</v>
      </c>
      <c r="K38" s="52"/>
      <c r="L38" s="474">
        <f>SRM!AO29</f>
        <v>-0.1</v>
      </c>
      <c r="M38" s="389" t="s">
        <v>1</v>
      </c>
      <c r="N38" s="382"/>
      <c r="O38" s="382"/>
      <c r="P38" s="433"/>
    </row>
    <row r="39" spans="1:18" ht="6.75" customHeight="1" x14ac:dyDescent="0.2">
      <c r="A39" s="431"/>
      <c r="B39" s="383"/>
      <c r="C39" s="382"/>
      <c r="D39" s="382"/>
      <c r="E39" s="382"/>
      <c r="F39" s="398"/>
      <c r="G39" s="382"/>
      <c r="H39" s="382"/>
      <c r="I39" s="382"/>
      <c r="J39" s="383"/>
      <c r="K39" s="383"/>
      <c r="L39" s="382"/>
      <c r="M39" s="382"/>
      <c r="N39" s="382"/>
      <c r="O39" s="382"/>
      <c r="P39" s="433"/>
    </row>
    <row r="40" spans="1:18" x14ac:dyDescent="0.2">
      <c r="A40" s="431"/>
      <c r="B40" s="383"/>
      <c r="C40" s="382"/>
      <c r="D40" s="468" t="s">
        <v>214</v>
      </c>
      <c r="E40" s="469" t="s">
        <v>3</v>
      </c>
      <c r="F40" s="470">
        <f>SRM!AJ30</f>
        <v>5</v>
      </c>
      <c r="G40" s="471" t="s">
        <v>34</v>
      </c>
      <c r="H40" s="468">
        <f>SRM!AL30</f>
        <v>7.69</v>
      </c>
      <c r="I40" s="472" t="s">
        <v>177</v>
      </c>
      <c r="J40" s="473"/>
      <c r="K40" s="471" t="s">
        <v>174</v>
      </c>
      <c r="L40" s="468">
        <f>SRM!AN30</f>
        <v>7.7</v>
      </c>
      <c r="M40" s="472" t="s">
        <v>1</v>
      </c>
      <c r="N40" s="382"/>
      <c r="O40" s="382"/>
      <c r="P40" s="433"/>
    </row>
    <row r="41" spans="1:18" x14ac:dyDescent="0.2">
      <c r="A41" s="431"/>
      <c r="B41" s="383"/>
      <c r="C41" s="382"/>
      <c r="D41" s="472" t="s">
        <v>215</v>
      </c>
      <c r="E41" s="469" t="s">
        <v>3</v>
      </c>
      <c r="F41" s="470">
        <f>SRM!AJ31</f>
        <v>6</v>
      </c>
      <c r="G41" s="471" t="s">
        <v>34</v>
      </c>
      <c r="H41" s="468">
        <f>SRM!AL31</f>
        <v>7.6224999999999996</v>
      </c>
      <c r="I41" s="472" t="s">
        <v>177</v>
      </c>
      <c r="J41" s="473"/>
      <c r="K41" s="471" t="s">
        <v>174</v>
      </c>
      <c r="L41" s="468">
        <f>SRM!AN31</f>
        <v>7.6000000000000005</v>
      </c>
      <c r="M41" s="472" t="s">
        <v>1</v>
      </c>
      <c r="N41" s="382"/>
      <c r="O41" s="382"/>
      <c r="P41" s="433"/>
    </row>
    <row r="42" spans="1:18" x14ac:dyDescent="0.2">
      <c r="A42" s="431"/>
      <c r="B42" s="383"/>
      <c r="C42" s="382"/>
      <c r="D42" s="382"/>
      <c r="E42" s="400"/>
      <c r="F42" s="398"/>
      <c r="G42" s="52"/>
      <c r="H42" s="386"/>
      <c r="I42" s="389"/>
      <c r="J42" s="54"/>
      <c r="K42" s="52"/>
      <c r="L42" s="386"/>
      <c r="M42" s="389"/>
      <c r="N42" s="382"/>
      <c r="O42" s="382"/>
      <c r="P42" s="433"/>
    </row>
    <row r="43" spans="1:18" x14ac:dyDescent="0.2">
      <c r="A43" s="431"/>
      <c r="B43" s="383"/>
      <c r="C43" s="382"/>
      <c r="D43" s="384" t="s">
        <v>211</v>
      </c>
      <c r="E43" s="400"/>
      <c r="F43" s="398"/>
      <c r="G43" s="52"/>
      <c r="H43" s="386"/>
      <c r="I43" s="389"/>
      <c r="J43" s="54"/>
      <c r="K43" s="52"/>
      <c r="L43" s="386"/>
      <c r="M43" s="389"/>
      <c r="N43" s="382"/>
      <c r="O43" s="382"/>
      <c r="P43" s="433"/>
    </row>
    <row r="44" spans="1:18" x14ac:dyDescent="0.2">
      <c r="A44" s="431"/>
      <c r="B44" s="383"/>
      <c r="C44" s="382"/>
      <c r="D44" s="384"/>
      <c r="E44" s="400"/>
      <c r="F44" s="398"/>
      <c r="G44" s="52"/>
      <c r="H44" s="386"/>
      <c r="I44" s="389"/>
      <c r="J44" s="54"/>
      <c r="K44" s="52"/>
      <c r="L44" s="386"/>
      <c r="M44" s="389"/>
      <c r="N44" s="382"/>
      <c r="O44" s="382"/>
      <c r="P44" s="433"/>
    </row>
    <row r="45" spans="1:18" x14ac:dyDescent="0.2">
      <c r="A45" s="431"/>
      <c r="B45" s="383"/>
      <c r="C45" s="382"/>
      <c r="D45" s="384"/>
      <c r="E45" s="400"/>
      <c r="F45" s="398"/>
      <c r="G45" s="52"/>
      <c r="H45" s="54"/>
      <c r="I45" s="54"/>
      <c r="J45" s="410" t="s">
        <v>109</v>
      </c>
      <c r="K45" s="411">
        <f>SRM!AA12</f>
        <v>0</v>
      </c>
      <c r="L45" s="412">
        <f>IF(K45&gt;90,K45-90,K45+90)</f>
        <v>90</v>
      </c>
      <c r="M45" s="54"/>
      <c r="N45" s="54"/>
      <c r="O45" s="54"/>
      <c r="P45" s="486"/>
      <c r="Q45" s="466"/>
      <c r="R45" s="467"/>
    </row>
    <row r="46" spans="1:18" x14ac:dyDescent="0.2">
      <c r="A46" s="431"/>
      <c r="B46" s="383"/>
      <c r="C46" s="382"/>
      <c r="D46" s="52" t="s">
        <v>101</v>
      </c>
      <c r="E46" s="414">
        <f>SRM!AJ39</f>
        <v>-2.5499999999999972</v>
      </c>
      <c r="F46" s="414">
        <f>SRM!AM39</f>
        <v>-0.65000000000000124</v>
      </c>
      <c r="G46" s="480" t="s">
        <v>98</v>
      </c>
      <c r="H46" s="487">
        <f>SRM!AP39</f>
        <v>0</v>
      </c>
      <c r="I46" s="488" t="s">
        <v>4</v>
      </c>
      <c r="J46" s="435" t="s">
        <v>97</v>
      </c>
      <c r="K46" s="413">
        <f>SRM!AA13</f>
        <v>2</v>
      </c>
      <c r="L46" s="414">
        <f>SRM!AB13</f>
        <v>5</v>
      </c>
      <c r="M46" s="389"/>
      <c r="N46" s="54"/>
      <c r="O46" s="54"/>
      <c r="P46" s="486"/>
      <c r="Q46" s="466"/>
      <c r="R46" s="467"/>
    </row>
    <row r="47" spans="1:18" x14ac:dyDescent="0.2">
      <c r="A47" s="431"/>
      <c r="B47" s="383"/>
      <c r="C47" s="382"/>
      <c r="D47" s="52" t="s">
        <v>101</v>
      </c>
      <c r="E47" s="414">
        <f>SRM!AJ40</f>
        <v>-2.5</v>
      </c>
      <c r="F47" s="414">
        <f>SRM!AM40</f>
        <v>-0.75</v>
      </c>
      <c r="G47" s="480" t="s">
        <v>98</v>
      </c>
      <c r="H47" s="487">
        <f>SRM!AP40</f>
        <v>0</v>
      </c>
      <c r="I47" s="488" t="s">
        <v>4</v>
      </c>
      <c r="J47" s="435" t="str">
        <f>"+S'TL"</f>
        <v>+S'TL</v>
      </c>
      <c r="K47" s="413">
        <f>SRM!AA14</f>
        <v>0.54999999999999716</v>
      </c>
      <c r="L47" s="414">
        <f>SRM!AB14</f>
        <v>-1.8000000000000016</v>
      </c>
      <c r="M47" s="389"/>
      <c r="N47" s="382"/>
      <c r="O47" s="382"/>
      <c r="P47" s="433"/>
    </row>
    <row r="48" spans="1:18" x14ac:dyDescent="0.2">
      <c r="A48" s="431"/>
      <c r="B48" s="383"/>
      <c r="C48" s="382"/>
      <c r="D48" s="52" t="s">
        <v>99</v>
      </c>
      <c r="E48" s="476">
        <f>SRM!AP38</f>
        <v>-2.8749999999999978</v>
      </c>
      <c r="F48" s="477" t="s">
        <v>100</v>
      </c>
      <c r="G48" s="478"/>
      <c r="H48" s="476">
        <f>SRM!AP30</f>
        <v>-2.75</v>
      </c>
      <c r="I48" s="477" t="s">
        <v>37</v>
      </c>
      <c r="J48" s="435" t="str">
        <f>"+S'KL"</f>
        <v>+S'KL</v>
      </c>
      <c r="K48" s="415">
        <f>SRM!AA15</f>
        <v>-2.5499999999999972</v>
      </c>
      <c r="L48" s="416">
        <f>SRM!AB15</f>
        <v>-3.1999999999999984</v>
      </c>
      <c r="M48" s="389"/>
      <c r="N48" s="382"/>
      <c r="O48" s="382"/>
      <c r="P48" s="433"/>
    </row>
    <row r="49" spans="1:16" ht="13.5" thickBot="1" x14ac:dyDescent="0.25">
      <c r="A49" s="431"/>
      <c r="B49" s="383"/>
      <c r="C49" s="382"/>
      <c r="D49" s="384"/>
      <c r="E49" s="400"/>
      <c r="F49" s="398"/>
      <c r="G49" s="52"/>
      <c r="H49" s="54"/>
      <c r="I49" s="54"/>
      <c r="J49" s="417" t="str">
        <f>"=GRD"</f>
        <v>=GRD</v>
      </c>
      <c r="K49" s="418">
        <v>0</v>
      </c>
      <c r="L49" s="419">
        <v>0</v>
      </c>
      <c r="M49" s="389"/>
      <c r="N49" s="382"/>
      <c r="O49" s="382"/>
      <c r="P49" s="433"/>
    </row>
    <row r="50" spans="1:16" x14ac:dyDescent="0.2">
      <c r="A50" s="431"/>
      <c r="B50" s="383"/>
      <c r="C50" s="382"/>
      <c r="D50" s="382"/>
      <c r="E50" s="400"/>
      <c r="F50" s="398"/>
      <c r="G50" s="52"/>
      <c r="H50" s="386"/>
      <c r="I50" s="389"/>
      <c r="J50" s="54"/>
      <c r="K50" s="52"/>
      <c r="L50" s="386"/>
      <c r="M50" s="389"/>
      <c r="N50" s="382"/>
      <c r="O50" s="382"/>
      <c r="P50" s="433"/>
    </row>
    <row r="51" spans="1:16" x14ac:dyDescent="0.2">
      <c r="A51" s="431"/>
      <c r="B51" s="383"/>
      <c r="C51" s="382"/>
      <c r="D51" s="384" t="s">
        <v>212</v>
      </c>
      <c r="E51" s="52" t="str">
        <f>SRM!F19</f>
        <v>normale</v>
      </c>
      <c r="F51" s="382" t="str">
        <f>SRM!G19</f>
        <v>Lidspaltenhöhe</v>
      </c>
      <c r="G51" s="397"/>
      <c r="H51" s="389" t="str">
        <f>"---&gt;"</f>
        <v>---&gt;</v>
      </c>
      <c r="I51" s="382"/>
      <c r="J51" s="383" t="str">
        <f>SRM!E21</f>
        <v xml:space="preserve">  →     Harte-KLØ =</v>
      </c>
      <c r="K51" s="383"/>
      <c r="L51" s="481">
        <f>SRM!F21</f>
        <v>9.1</v>
      </c>
      <c r="M51" s="389" t="s">
        <v>1</v>
      </c>
      <c r="N51" s="382"/>
      <c r="O51" s="382"/>
      <c r="P51" s="433"/>
    </row>
    <row r="52" spans="1:16" x14ac:dyDescent="0.2">
      <c r="A52" s="431"/>
      <c r="B52" s="383"/>
      <c r="C52" s="382"/>
      <c r="D52" s="382"/>
      <c r="E52" s="382"/>
      <c r="F52" s="382"/>
      <c r="G52" s="382"/>
      <c r="H52" s="382"/>
      <c r="I52" s="382"/>
      <c r="J52" s="383" t="str">
        <f>SRM!E20</f>
        <v xml:space="preserve">   →    Weich-KLØ =</v>
      </c>
      <c r="K52" s="383"/>
      <c r="L52" s="482">
        <f>SRM!F20</f>
        <v>14</v>
      </c>
      <c r="M52" s="397" t="s">
        <v>1</v>
      </c>
      <c r="N52" s="382"/>
      <c r="O52" s="382"/>
      <c r="P52" s="433"/>
    </row>
    <row r="53" spans="1:16" ht="5.25" customHeight="1" x14ac:dyDescent="0.2">
      <c r="A53" s="431"/>
      <c r="B53" s="383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433"/>
    </row>
    <row r="54" spans="1:16" x14ac:dyDescent="0.2">
      <c r="A54" s="431"/>
      <c r="B54" s="52" t="s">
        <v>90</v>
      </c>
      <c r="C54" s="382"/>
      <c r="D54" s="384" t="s">
        <v>213</v>
      </c>
      <c r="E54" s="52" t="s">
        <v>176</v>
      </c>
      <c r="F54" s="474">
        <f>SRM!AJ43</f>
        <v>0.51499999999999879</v>
      </c>
      <c r="G54" s="389" t="s">
        <v>1</v>
      </c>
      <c r="H54" s="382" t="str">
        <f>IF(ABS(F54)&lt;0.5,"Empfehlung: rotationssymmetrische Rückfläche","Empfehlung: torische Rückfläche")</f>
        <v>Empfehlung: torische Rückfläche</v>
      </c>
      <c r="I54" s="382"/>
      <c r="J54" s="382"/>
      <c r="K54" s="382"/>
      <c r="L54" s="382"/>
      <c r="M54" s="382"/>
      <c r="N54" s="382"/>
      <c r="O54" s="382"/>
      <c r="P54" s="433"/>
    </row>
    <row r="55" spans="1:16" ht="5.25" customHeight="1" x14ac:dyDescent="0.2">
      <c r="A55" s="431"/>
      <c r="B55" s="52"/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433"/>
    </row>
    <row r="56" spans="1:16" x14ac:dyDescent="0.2">
      <c r="A56" s="431"/>
      <c r="B56" s="52" t="s">
        <v>93</v>
      </c>
      <c r="C56" s="382"/>
      <c r="D56" s="384" t="s">
        <v>52</v>
      </c>
      <c r="E56" s="397" t="str">
        <f>SRM!AO43</f>
        <v>temporal</v>
      </c>
      <c r="F56" s="54"/>
      <c r="G56" s="382"/>
      <c r="H56" s="386" t="str">
        <f>SRM!AP43</f>
        <v xml:space="preserve"> </v>
      </c>
      <c r="I56" s="402"/>
      <c r="J56" s="382"/>
      <c r="K56" s="386"/>
      <c r="L56" s="382"/>
      <c r="M56" s="382"/>
      <c r="N56" s="382"/>
      <c r="O56" s="382"/>
      <c r="P56" s="433"/>
    </row>
    <row r="57" spans="1:16" ht="6.75" customHeight="1" x14ac:dyDescent="0.2">
      <c r="A57" s="431"/>
      <c r="B57" s="52"/>
      <c r="C57" s="382"/>
      <c r="D57" s="389"/>
      <c r="E57" s="382"/>
      <c r="F57" s="397"/>
      <c r="G57" s="382"/>
      <c r="H57" s="382"/>
      <c r="I57" s="402"/>
      <c r="J57" s="386"/>
      <c r="K57" s="386"/>
      <c r="L57" s="382"/>
      <c r="M57" s="382"/>
      <c r="N57" s="382"/>
      <c r="O57" s="382"/>
      <c r="P57" s="433"/>
    </row>
    <row r="58" spans="1:16" x14ac:dyDescent="0.2">
      <c r="A58" s="431"/>
      <c r="B58" s="52" t="s">
        <v>94</v>
      </c>
      <c r="C58" s="382"/>
      <c r="D58" s="426" t="s">
        <v>285</v>
      </c>
      <c r="E58" s="427"/>
      <c r="F58" s="428"/>
      <c r="G58" s="427"/>
      <c r="H58" s="427"/>
      <c r="I58" s="427"/>
      <c r="J58" s="427"/>
      <c r="K58" s="427"/>
      <c r="L58" s="427"/>
      <c r="M58" s="427"/>
      <c r="N58" s="382"/>
      <c r="O58" s="382"/>
      <c r="P58" s="433"/>
    </row>
    <row r="59" spans="1:16" x14ac:dyDescent="0.2">
      <c r="A59" s="431"/>
      <c r="B59" s="383"/>
      <c r="C59" s="382"/>
      <c r="D59" s="440" t="s">
        <v>3</v>
      </c>
      <c r="E59" s="441">
        <f>F40</f>
        <v>5</v>
      </c>
      <c r="F59" s="442" t="s">
        <v>283</v>
      </c>
      <c r="G59" s="443">
        <f>L40</f>
        <v>7.7</v>
      </c>
      <c r="H59" s="444" t="str">
        <f>"/ S'"</f>
        <v>/ S'</v>
      </c>
      <c r="I59" s="443">
        <f>SRM!AP30</f>
        <v>-2.75</v>
      </c>
      <c r="J59" s="444" t="str">
        <f>"/ Ø"</f>
        <v>/ Ø</v>
      </c>
      <c r="K59" s="575">
        <f>SRM!U12</f>
        <v>9.1</v>
      </c>
      <c r="L59" s="442" t="s">
        <v>96</v>
      </c>
      <c r="M59" s="445"/>
      <c r="N59" s="382"/>
      <c r="O59" s="382"/>
      <c r="P59" s="433"/>
    </row>
    <row r="60" spans="1:16" ht="14.25" customHeight="1" x14ac:dyDescent="0.2">
      <c r="A60" s="431"/>
      <c r="B60" s="383"/>
      <c r="C60" s="382"/>
      <c r="D60" s="446" t="s">
        <v>3</v>
      </c>
      <c r="E60" s="447">
        <f>F41</f>
        <v>6</v>
      </c>
      <c r="F60" s="448" t="s">
        <v>283</v>
      </c>
      <c r="G60" s="449">
        <f>L41</f>
        <v>7.6000000000000005</v>
      </c>
      <c r="H60" s="450" t="str">
        <f>"/ S'"</f>
        <v>/ S'</v>
      </c>
      <c r="I60" s="449">
        <f>SRM!AP31</f>
        <v>-3.25</v>
      </c>
      <c r="J60" s="450" t="str">
        <f>"/ Ø"</f>
        <v>/ Ø</v>
      </c>
      <c r="K60" s="576">
        <f>K59</f>
        <v>9.1</v>
      </c>
      <c r="L60" s="448" t="s">
        <v>96</v>
      </c>
      <c r="M60" s="451"/>
      <c r="N60" s="382"/>
      <c r="O60" s="382"/>
      <c r="P60" s="433"/>
    </row>
    <row r="61" spans="1:16" ht="8.25" customHeight="1" x14ac:dyDescent="0.2">
      <c r="A61" s="431"/>
      <c r="B61" s="383"/>
      <c r="C61" s="382"/>
      <c r="D61" s="382"/>
      <c r="E61" s="382"/>
      <c r="F61" s="382"/>
      <c r="G61" s="382"/>
      <c r="H61" s="382"/>
      <c r="I61" s="382"/>
      <c r="J61" s="382"/>
      <c r="K61" s="382"/>
      <c r="L61" s="382"/>
      <c r="M61" s="382"/>
      <c r="N61" s="382"/>
      <c r="O61" s="382"/>
      <c r="P61" s="433"/>
    </row>
    <row r="62" spans="1:16" x14ac:dyDescent="0.2">
      <c r="A62" s="431"/>
      <c r="B62" s="383"/>
      <c r="C62" s="382"/>
      <c r="D62" s="425" t="s">
        <v>284</v>
      </c>
      <c r="E62" s="436"/>
      <c r="F62" s="436"/>
      <c r="G62" s="437"/>
      <c r="H62" s="436"/>
      <c r="I62" s="437"/>
      <c r="J62" s="436"/>
      <c r="K62" s="436"/>
      <c r="L62" s="436"/>
      <c r="M62" s="429"/>
      <c r="N62" s="382"/>
      <c r="O62" s="382"/>
      <c r="P62" s="433"/>
    </row>
    <row r="63" spans="1:16" ht="15.75" customHeight="1" x14ac:dyDescent="0.2">
      <c r="A63" s="431"/>
      <c r="B63" s="382"/>
      <c r="C63" s="386"/>
      <c r="D63" s="452" t="str">
        <f>SRM!N17</f>
        <v>RT   AZ</v>
      </c>
      <c r="E63" s="574">
        <f>SRM!O17</f>
        <v>5</v>
      </c>
      <c r="F63" s="572" t="str">
        <f>SRM!P17</f>
        <v>(ro</v>
      </c>
      <c r="G63" s="454">
        <f>SRM!Q17</f>
        <v>7.8000000000000007</v>
      </c>
      <c r="H63" s="455">
        <f>SRM!S17</f>
        <v>7.5</v>
      </c>
      <c r="I63" s="453" t="str">
        <f>SRM!T17</f>
        <v xml:space="preserve">/ S' </v>
      </c>
      <c r="J63" s="455">
        <f>SRM!U17</f>
        <v>-2</v>
      </c>
      <c r="K63" s="573" t="str">
        <f>SRM!V17</f>
        <v>/ Ø</v>
      </c>
      <c r="L63" s="572">
        <f>SRM!W17</f>
        <v>9.1</v>
      </c>
      <c r="M63" s="456" t="str">
        <f>SRM!X17</f>
        <v>)</v>
      </c>
      <c r="N63" s="382"/>
      <c r="O63" s="383"/>
      <c r="P63" s="433"/>
    </row>
    <row r="64" spans="1:16" ht="8.25" customHeight="1" x14ac:dyDescent="0.2">
      <c r="A64" s="431"/>
      <c r="B64" s="382"/>
      <c r="C64" s="386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3"/>
      <c r="P64" s="433"/>
    </row>
    <row r="65" spans="1:17" x14ac:dyDescent="0.2">
      <c r="A65" s="431"/>
      <c r="B65" s="382"/>
      <c r="C65" s="386"/>
      <c r="D65" s="422" t="s">
        <v>150</v>
      </c>
      <c r="E65" s="423"/>
      <c r="F65" s="423"/>
      <c r="G65" s="424"/>
      <c r="H65" s="423"/>
      <c r="I65" s="423"/>
      <c r="J65" s="423"/>
      <c r="K65" s="423"/>
      <c r="L65" s="423"/>
      <c r="M65" s="423"/>
      <c r="N65" s="420"/>
      <c r="O65" s="420"/>
      <c r="P65" s="438"/>
      <c r="Q65" s="420"/>
    </row>
    <row r="66" spans="1:17" x14ac:dyDescent="0.2">
      <c r="A66" s="431"/>
      <c r="B66" s="382"/>
      <c r="C66" s="386"/>
      <c r="D66" s="457" t="str">
        <f>SRM!N21</f>
        <v>tor. Weichlinse</v>
      </c>
      <c r="E66" s="458" t="s">
        <v>155</v>
      </c>
      <c r="F66" s="459">
        <f>SRM!S21</f>
        <v>8.5749999999999993</v>
      </c>
      <c r="G66" s="460" t="s">
        <v>147</v>
      </c>
      <c r="H66" s="461">
        <f>SRM!U21</f>
        <v>-2</v>
      </c>
      <c r="I66" s="461">
        <f>SRM!W21</f>
        <v>-3</v>
      </c>
      <c r="J66" s="462">
        <f>SRM!Z21</f>
        <v>0</v>
      </c>
      <c r="K66" s="463" t="s">
        <v>151</v>
      </c>
      <c r="L66" s="464">
        <f>SRM!AB21</f>
        <v>14.5</v>
      </c>
      <c r="M66" s="465" t="s">
        <v>96</v>
      </c>
      <c r="N66" s="54"/>
      <c r="O66" s="421"/>
      <c r="P66" s="432"/>
    </row>
    <row r="67" spans="1:17" ht="13.5" thickBot="1" x14ac:dyDescent="0.25">
      <c r="A67" s="439"/>
      <c r="B67" s="404"/>
      <c r="C67" s="403"/>
      <c r="D67" s="404"/>
      <c r="E67" s="404"/>
      <c r="F67" s="404"/>
      <c r="G67" s="404"/>
      <c r="H67" s="404"/>
      <c r="I67" s="404"/>
      <c r="J67" s="404"/>
      <c r="K67" s="404"/>
      <c r="L67" s="404"/>
      <c r="M67" s="489" t="s">
        <v>218</v>
      </c>
      <c r="N67" s="489"/>
      <c r="O67" s="490"/>
      <c r="P67" s="492">
        <v>44544</v>
      </c>
    </row>
    <row r="68" spans="1:17" x14ac:dyDescent="0.2">
      <c r="B68" s="385"/>
      <c r="C68" s="401"/>
      <c r="D68" s="385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405"/>
      <c r="P68" s="385"/>
    </row>
    <row r="69" spans="1:17" x14ac:dyDescent="0.2">
      <c r="B69" s="385"/>
      <c r="C69" s="401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405"/>
      <c r="P69" s="385"/>
    </row>
    <row r="70" spans="1:17" x14ac:dyDescent="0.2"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405"/>
      <c r="P70" s="385"/>
    </row>
    <row r="71" spans="1:17" x14ac:dyDescent="0.2">
      <c r="O71" s="55"/>
    </row>
    <row r="72" spans="1:17" x14ac:dyDescent="0.2">
      <c r="O72" s="55"/>
    </row>
    <row r="73" spans="1:17" x14ac:dyDescent="0.2">
      <c r="O73" s="55"/>
    </row>
  </sheetData>
  <sheetProtection algorithmName="SHA-512" hashValue="vRz+EdOxE9nqMDVCuAoQcT5YqTmyMrsy8OyGj966CkiwdFePj+mn9G0vr58U3qln+KzMUvWYcqIELgFFv60ElA==" saltValue="PxMMzCyKCeXBKm09grdzSA==" spinCount="100000" sheet="1" objects="1" scenarios="1"/>
  <customSheetViews>
    <customSheetView guid="{B1D94C4E-3F70-49FE-A1EC-47C95B05E6DE}">
      <selection sqref="A1:M49"/>
      <pageMargins left="0.7" right="0.7" top="0.78740157499999996" bottom="0.78740157499999996" header="0.3" footer="0.3"/>
    </customSheetView>
  </customSheetViews>
  <pageMargins left="0.61" right="0.23" top="0.42" bottom="0.46" header="0.3" footer="0.3"/>
  <pageSetup paperSize="9" orientation="portrait" r:id="rId1"/>
  <ignoredErrors>
    <ignoredError sqref="I59:I6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A809-1B7B-4191-ACB1-A5A989AC10E8}">
  <dimension ref="A1:BG106"/>
  <sheetViews>
    <sheetView showGridLines="0" showRowColHeaders="0" zoomScale="150" zoomScaleNormal="150" workbookViewId="0">
      <selection activeCell="C4" sqref="C4"/>
    </sheetView>
  </sheetViews>
  <sheetFormatPr baseColWidth="10" defaultColWidth="11.42578125" defaultRowHeight="12.75" x14ac:dyDescent="0.2"/>
  <cols>
    <col min="1" max="1" width="1.7109375" style="60" customWidth="1"/>
    <col min="2" max="2" width="12.85546875" style="59" customWidth="1"/>
    <col min="3" max="3" width="6.85546875" style="60" customWidth="1"/>
    <col min="4" max="4" width="12.5703125" style="60" customWidth="1"/>
    <col min="5" max="5" width="17.7109375" style="60" customWidth="1"/>
    <col min="6" max="6" width="8.7109375" style="60" customWidth="1"/>
    <col min="7" max="7" width="4.28515625" style="60" customWidth="1"/>
    <col min="8" max="8" width="4.85546875" style="60" customWidth="1"/>
    <col min="9" max="10" width="4.140625" style="60" customWidth="1"/>
    <col min="11" max="11" width="20.28515625" style="60" customWidth="1"/>
    <col min="12" max="12" width="1.42578125" style="60" customWidth="1"/>
    <col min="13" max="13" width="9.42578125" style="60" customWidth="1"/>
    <col min="14" max="14" width="2.7109375" style="60" customWidth="1"/>
    <col min="15" max="15" width="43.28515625" style="60" customWidth="1"/>
    <col min="16" max="16" width="8.5703125" style="60" customWidth="1"/>
    <col min="17" max="17" width="7.42578125" style="60" customWidth="1"/>
    <col min="18" max="18" width="2.42578125" style="60" customWidth="1"/>
    <col min="19" max="19" width="10.140625" style="60" customWidth="1"/>
    <col min="20" max="21" width="4.140625" style="60" customWidth="1"/>
    <col min="22" max="22" width="5.5703125" style="60" customWidth="1"/>
    <col min="23" max="23" width="1.7109375" style="60" customWidth="1"/>
    <col min="24" max="24" width="14.28515625" style="60" customWidth="1"/>
    <col min="25" max="25" width="7.5703125" style="60" customWidth="1"/>
    <col min="26" max="26" width="8.85546875" style="60" customWidth="1"/>
    <col min="27" max="27" width="8.140625" style="60" customWidth="1"/>
    <col min="28" max="28" width="10.28515625" style="60" customWidth="1"/>
    <col min="29" max="29" width="6.140625" style="60" customWidth="1"/>
    <col min="30" max="30" width="7.5703125" style="60" customWidth="1"/>
    <col min="31" max="31" width="9.85546875" style="60" customWidth="1"/>
    <col min="32" max="32" width="9.42578125" style="60" customWidth="1"/>
    <col min="33" max="33" width="4.5703125" style="60" customWidth="1"/>
    <col min="34" max="34" width="1.7109375" style="60" customWidth="1"/>
    <col min="35" max="35" width="9.5703125" style="59" customWidth="1"/>
    <col min="36" max="36" width="11.42578125" style="60"/>
    <col min="37" max="37" width="3.7109375" style="60" customWidth="1"/>
    <col min="38" max="38" width="12.28515625" style="60" customWidth="1"/>
    <col min="39" max="39" width="11.42578125" style="60"/>
    <col min="40" max="40" width="13.140625" style="60" bestFit="1" customWidth="1"/>
    <col min="41" max="16384" width="11.42578125" style="60"/>
  </cols>
  <sheetData>
    <row r="1" spans="1:59" ht="21" customHeight="1" x14ac:dyDescent="0.2">
      <c r="A1" s="191"/>
      <c r="B1" s="61" t="s">
        <v>276</v>
      </c>
      <c r="C1" s="62"/>
      <c r="D1" s="63"/>
      <c r="E1" s="63"/>
      <c r="F1" s="63"/>
      <c r="G1" s="63"/>
      <c r="H1" s="63"/>
      <c r="I1" s="63"/>
      <c r="J1" s="63"/>
      <c r="K1" s="63"/>
      <c r="L1" s="19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3"/>
      <c r="AZ1" s="73"/>
      <c r="BA1" s="73"/>
      <c r="BB1" s="73"/>
      <c r="BC1" s="73"/>
      <c r="BD1" s="73"/>
      <c r="BE1" s="73"/>
      <c r="BF1" s="73"/>
      <c r="BG1" s="1"/>
    </row>
    <row r="2" spans="1:59" ht="14.25" customHeight="1" x14ac:dyDescent="0.2">
      <c r="A2" s="191"/>
      <c r="B2" s="64"/>
      <c r="C2" s="309"/>
      <c r="D2" s="309"/>
      <c r="E2" s="309"/>
      <c r="F2" s="309"/>
      <c r="G2" s="309"/>
      <c r="H2" s="65"/>
      <c r="I2" s="66"/>
      <c r="J2" s="66"/>
      <c r="K2" s="66"/>
      <c r="L2" s="192"/>
      <c r="M2" s="65"/>
      <c r="N2" s="67"/>
      <c r="O2" s="67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3"/>
      <c r="AZ2" s="73"/>
      <c r="BA2" s="73"/>
      <c r="BB2" s="73"/>
      <c r="BC2" s="73"/>
      <c r="BD2" s="73"/>
      <c r="BE2" s="73"/>
      <c r="BF2" s="73"/>
      <c r="BG2" s="1"/>
    </row>
    <row r="3" spans="1:59" ht="14.1" customHeight="1" x14ac:dyDescent="0.2">
      <c r="A3" s="191"/>
      <c r="B3" s="74" t="s">
        <v>70</v>
      </c>
      <c r="C3" s="75"/>
      <c r="D3" s="72"/>
      <c r="E3" s="102" t="s">
        <v>135</v>
      </c>
      <c r="F3" s="87"/>
      <c r="G3" s="87"/>
      <c r="H3" s="87"/>
      <c r="I3" s="87"/>
      <c r="J3" s="86"/>
      <c r="K3" s="86"/>
      <c r="L3" s="193"/>
      <c r="M3" s="72"/>
      <c r="N3" s="38"/>
      <c r="O3" s="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3"/>
      <c r="AZ3" s="73"/>
      <c r="BA3" s="73"/>
      <c r="BB3" s="73"/>
      <c r="BC3" s="73"/>
      <c r="BD3" s="73"/>
      <c r="BE3" s="73"/>
      <c r="BF3" s="73"/>
      <c r="BG3" s="1"/>
    </row>
    <row r="4" spans="1:59" ht="14.1" customHeight="1" x14ac:dyDescent="0.2">
      <c r="A4" s="191"/>
      <c r="B4" s="83" t="s">
        <v>32</v>
      </c>
      <c r="C4" s="203">
        <v>-3</v>
      </c>
      <c r="D4" s="83" t="s">
        <v>37</v>
      </c>
      <c r="E4" s="105" t="s">
        <v>136</v>
      </c>
      <c r="F4" s="498" t="str">
        <f>IF(F10&gt;8.2,"flache",IF(F10&lt;7.4,"steile","normale"))</f>
        <v>normale</v>
      </c>
      <c r="G4" s="87" t="s">
        <v>0</v>
      </c>
      <c r="H4" s="87"/>
      <c r="I4" s="87"/>
      <c r="J4" s="87"/>
      <c r="K4" s="88"/>
      <c r="L4" s="194"/>
      <c r="M4" s="82"/>
      <c r="N4" s="15"/>
      <c r="O4" s="80"/>
      <c r="P4" s="81"/>
      <c r="Q4" s="80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3"/>
      <c r="AZ4" s="73"/>
      <c r="BA4" s="73"/>
      <c r="BB4" s="73"/>
      <c r="BC4" s="73"/>
      <c r="BD4" s="73"/>
      <c r="BE4" s="73"/>
      <c r="BF4" s="73"/>
      <c r="BG4" s="1"/>
    </row>
    <row r="5" spans="1:59" ht="14.1" customHeight="1" x14ac:dyDescent="0.2">
      <c r="A5" s="191"/>
      <c r="B5" s="83" t="s">
        <v>69</v>
      </c>
      <c r="C5" s="204">
        <v>-0.75</v>
      </c>
      <c r="D5" s="83" t="s">
        <v>37</v>
      </c>
      <c r="E5" s="105" t="s">
        <v>154</v>
      </c>
      <c r="F5" s="498" t="str">
        <f>IF(F11&gt;0.3,"starker",IF(F11&lt;0.09,"geringer","normaler"))</f>
        <v>normaler</v>
      </c>
      <c r="G5" s="87" t="s">
        <v>227</v>
      </c>
      <c r="H5" s="87"/>
      <c r="I5" s="87"/>
      <c r="J5" s="87"/>
      <c r="K5" s="88"/>
      <c r="L5" s="195"/>
      <c r="M5" s="67"/>
      <c r="N5" s="38"/>
      <c r="O5" s="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9"/>
      <c r="AZ5" s="67"/>
      <c r="BA5" s="67"/>
      <c r="BB5" s="67"/>
      <c r="BC5" s="67"/>
      <c r="BD5" s="67"/>
      <c r="BE5" s="67"/>
      <c r="BF5" s="67"/>
    </row>
    <row r="6" spans="1:59" ht="14.1" customHeight="1" x14ac:dyDescent="0.2">
      <c r="A6" s="191"/>
      <c r="B6" s="96" t="s">
        <v>6</v>
      </c>
      <c r="C6" s="205">
        <v>10</v>
      </c>
      <c r="D6" s="83" t="s">
        <v>4</v>
      </c>
      <c r="E6" s="73" t="s">
        <v>137</v>
      </c>
      <c r="F6" s="85">
        <f>-F11*6</f>
        <v>-1.2000000000000011</v>
      </c>
      <c r="G6" s="87">
        <f>IF(C9&gt;C11,C10,IF(C10&gt;90,C10-90,C10+90))</f>
        <v>10</v>
      </c>
      <c r="H6" s="87" t="s">
        <v>4</v>
      </c>
      <c r="I6" s="87" t="str">
        <f>IF(AND(C10&gt;=0,C10&lt;=45,C9&gt;C11),"Rectus",IF(AND(C10&gt;=135,C10&lt;=180,C9&gt;C11),"Rectus","Inversus"))</f>
        <v>Rectus</v>
      </c>
      <c r="J6" s="87"/>
      <c r="K6" s="82"/>
      <c r="L6" s="194"/>
      <c r="M6" s="82"/>
      <c r="N6" s="38"/>
      <c r="O6" s="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67"/>
      <c r="AZ6" s="67"/>
      <c r="BA6" s="67"/>
      <c r="BB6" s="67"/>
      <c r="BC6" s="67"/>
      <c r="BD6" s="67"/>
      <c r="BE6" s="67"/>
      <c r="BF6" s="67"/>
    </row>
    <row r="7" spans="1:59" ht="14.1" customHeight="1" x14ac:dyDescent="0.2">
      <c r="A7" s="191"/>
      <c r="B7" s="96" t="s">
        <v>40</v>
      </c>
      <c r="C7" s="206">
        <v>0</v>
      </c>
      <c r="D7" s="83" t="s">
        <v>1</v>
      </c>
      <c r="E7" s="73" t="s">
        <v>138</v>
      </c>
      <c r="F7" s="85">
        <f>C15</f>
        <v>-0.75</v>
      </c>
      <c r="G7" s="87">
        <f>IF(C5=0," ",C6)</f>
        <v>10</v>
      </c>
      <c r="H7" s="87" t="s">
        <v>4</v>
      </c>
      <c r="I7" s="87" t="str">
        <f>IF(AND(C6&gt;=0,C6&lt;=45,C5&lt;0),"Rectus",IF(AND(C6&gt;=135,C6&lt;=180,C5&lt;0),"Rectus","Inversus"))</f>
        <v>Rectus</v>
      </c>
      <c r="J7" s="87"/>
      <c r="K7" s="86"/>
      <c r="L7" s="195"/>
      <c r="M7" s="67"/>
      <c r="N7" s="67"/>
      <c r="O7" s="67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67"/>
      <c r="AZ7" s="67"/>
      <c r="BA7" s="67"/>
      <c r="BB7" s="67"/>
      <c r="BC7" s="93"/>
      <c r="BD7" s="99"/>
      <c r="BE7" s="100"/>
      <c r="BF7" s="67"/>
    </row>
    <row r="8" spans="1:59" ht="15" customHeight="1" x14ac:dyDescent="0.2">
      <c r="A8" s="191"/>
      <c r="B8" s="101" t="s">
        <v>131</v>
      </c>
      <c r="C8" s="69"/>
      <c r="D8" s="83"/>
      <c r="E8" s="117" t="s">
        <v>139</v>
      </c>
      <c r="F8" s="85">
        <f>IF(I7=I6,F7-F6,F7*(-1)-F6)</f>
        <v>0.45000000000000107</v>
      </c>
      <c r="G8" s="500"/>
      <c r="H8" s="87"/>
      <c r="I8" s="87"/>
      <c r="J8" s="87"/>
      <c r="K8" s="86"/>
      <c r="L8" s="195"/>
      <c r="M8" s="67"/>
      <c r="N8" s="67"/>
      <c r="O8" s="67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67"/>
      <c r="AZ8" s="67"/>
      <c r="BA8" s="67"/>
      <c r="BB8" s="67"/>
      <c r="BC8" s="93"/>
      <c r="BD8" s="99"/>
      <c r="BE8" s="100"/>
      <c r="BF8" s="67"/>
    </row>
    <row r="9" spans="1:59" ht="14.1" customHeight="1" x14ac:dyDescent="0.2">
      <c r="A9" s="191"/>
      <c r="B9" s="83" t="s">
        <v>5</v>
      </c>
      <c r="C9" s="203">
        <v>7.8</v>
      </c>
      <c r="D9" s="83" t="s">
        <v>1</v>
      </c>
      <c r="E9" s="105"/>
      <c r="F9" s="313" t="str">
        <f>IF(ABS(F8)&lt;ABS(F7),IF(ABS(F8)&gt;0.5001,IF(F11&lt;0.4,"VPT - vorderprismatischtorische HL","RT - rücktorische HL / BTX"),IF(F11&lt;0.45,"RS - rotationssymmetrische HL","BTC - bitorischkompensierte HL")),IF(ABS(F7)&gt;0.5,"torische Weichlinse",IF(ABS(C4)&gt;0.25,"rotationssymmetrische WL","keine Linse sinnvoll")))</f>
        <v>RS - rotationssymmetrische HL</v>
      </c>
      <c r="G9" s="87"/>
      <c r="H9" s="87"/>
      <c r="I9" s="87"/>
      <c r="J9" s="87"/>
      <c r="K9" s="86"/>
      <c r="L9" s="195"/>
      <c r="M9" s="67"/>
      <c r="N9" s="38"/>
      <c r="O9" s="38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67"/>
      <c r="AZ9" s="67"/>
      <c r="BA9" s="67"/>
      <c r="BB9" s="67"/>
      <c r="BC9" s="93"/>
      <c r="BD9" s="99"/>
      <c r="BE9" s="100"/>
      <c r="BF9" s="67"/>
    </row>
    <row r="10" spans="1:59" ht="14.1" customHeight="1" x14ac:dyDescent="0.2">
      <c r="A10" s="191"/>
      <c r="B10" s="83" t="s">
        <v>44</v>
      </c>
      <c r="C10" s="207">
        <v>10</v>
      </c>
      <c r="D10" s="83" t="s">
        <v>4</v>
      </c>
      <c r="E10" s="73" t="s">
        <v>225</v>
      </c>
      <c r="F10" s="126">
        <f>SUM(C9,C11)/2</f>
        <v>7.6999999999999993</v>
      </c>
      <c r="G10" s="127" t="s">
        <v>1</v>
      </c>
      <c r="H10" s="87"/>
      <c r="I10" s="87"/>
      <c r="J10" s="87"/>
      <c r="K10" s="86"/>
      <c r="L10" s="195"/>
      <c r="M10" s="67"/>
      <c r="N10" s="38"/>
      <c r="O10" s="38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67"/>
      <c r="AZ10" s="67"/>
      <c r="BA10" s="67"/>
      <c r="BB10" s="67"/>
      <c r="BC10" s="67"/>
      <c r="BD10" s="67"/>
      <c r="BE10" s="67"/>
      <c r="BF10" s="67"/>
    </row>
    <row r="11" spans="1:59" ht="14.1" customHeight="1" x14ac:dyDescent="0.2">
      <c r="A11" s="191"/>
      <c r="B11" s="83" t="s">
        <v>7</v>
      </c>
      <c r="C11" s="208">
        <v>7.6</v>
      </c>
      <c r="D11" s="83" t="s">
        <v>1</v>
      </c>
      <c r="E11" s="73" t="s">
        <v>226</v>
      </c>
      <c r="F11" s="86">
        <f>IF(C9&gt;=C11,C9-C11,C11-C9)</f>
        <v>0.20000000000000018</v>
      </c>
      <c r="G11" s="127" t="s">
        <v>1</v>
      </c>
      <c r="H11" s="87"/>
      <c r="I11" s="87"/>
      <c r="J11" s="87"/>
      <c r="K11" s="86"/>
      <c r="L11" s="195"/>
      <c r="M11" s="67"/>
      <c r="N11" s="38"/>
      <c r="O11" s="38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67"/>
      <c r="AZ11" s="67"/>
      <c r="BA11" s="67"/>
      <c r="BB11" s="67"/>
      <c r="BC11" s="67"/>
      <c r="BD11" s="79"/>
      <c r="BE11" s="67"/>
      <c r="BF11" s="67"/>
    </row>
    <row r="12" spans="1:59" ht="8.25" customHeight="1" x14ac:dyDescent="0.2">
      <c r="A12" s="191"/>
      <c r="B12" s="83"/>
      <c r="C12" s="38"/>
      <c r="D12" s="83"/>
      <c r="E12" s="73"/>
      <c r="F12" s="86"/>
      <c r="G12" s="127"/>
      <c r="H12" s="87"/>
      <c r="I12" s="87"/>
      <c r="J12" s="87"/>
      <c r="K12" s="86"/>
      <c r="L12" s="195"/>
      <c r="M12" s="67"/>
      <c r="N12" s="38"/>
      <c r="O12" s="38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67"/>
      <c r="AZ12" s="67"/>
      <c r="BA12" s="67"/>
      <c r="BB12" s="67"/>
      <c r="BC12" s="67"/>
      <c r="BD12" s="79"/>
      <c r="BE12" s="67"/>
      <c r="BF12" s="67"/>
    </row>
    <row r="13" spans="1:59" ht="15" customHeight="1" x14ac:dyDescent="0.2">
      <c r="A13" s="191"/>
      <c r="B13" s="74" t="s">
        <v>133</v>
      </c>
      <c r="C13" s="72"/>
      <c r="D13" s="72"/>
      <c r="E13" s="78" t="s">
        <v>168</v>
      </c>
      <c r="F13" s="38"/>
      <c r="G13" s="38"/>
      <c r="H13" s="79"/>
      <c r="I13" s="38"/>
      <c r="J13" s="72"/>
      <c r="K13" s="72"/>
      <c r="L13" s="195"/>
      <c r="M13" s="67"/>
      <c r="N13" s="38"/>
      <c r="O13" s="38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67"/>
      <c r="AZ13" s="67"/>
      <c r="BA13" s="67"/>
      <c r="BB13" s="67"/>
      <c r="BC13" s="67"/>
      <c r="BD13" s="67"/>
      <c r="BE13" s="67"/>
      <c r="BF13" s="67"/>
    </row>
    <row r="14" spans="1:59" ht="15" customHeight="1" x14ac:dyDescent="0.2">
      <c r="A14" s="191"/>
      <c r="B14" s="84" t="s">
        <v>32</v>
      </c>
      <c r="C14" s="85">
        <f>C4/(1-C7/1000*C4)</f>
        <v>-3</v>
      </c>
      <c r="D14" s="86" t="s">
        <v>37</v>
      </c>
      <c r="E14" s="89" t="s">
        <v>140</v>
      </c>
      <c r="F14" s="28" t="str">
        <f>IF(F9="RT - rücktorische HL / BTX",IF(F18="RT - Vollkorrektionsfall weil IA=HHA/3","RT - Linse","BTX - Linse"),F9)</f>
        <v>RS - rotationssymmetrische HL</v>
      </c>
      <c r="G14" s="90"/>
      <c r="H14" s="90"/>
      <c r="I14" s="90"/>
      <c r="J14" s="90"/>
      <c r="K14" s="90"/>
      <c r="L14" s="195"/>
      <c r="M14" s="67"/>
      <c r="N14" s="38"/>
      <c r="O14" s="38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67"/>
      <c r="AZ14" s="67"/>
      <c r="BA14" s="67"/>
      <c r="BB14" s="67"/>
      <c r="BC14" s="67"/>
      <c r="BD14" s="73"/>
      <c r="BE14" s="93"/>
      <c r="BF14" s="67"/>
    </row>
    <row r="15" spans="1:59" ht="15" customHeight="1" x14ac:dyDescent="0.2">
      <c r="A15" s="191"/>
      <c r="B15" s="84" t="s">
        <v>134</v>
      </c>
      <c r="C15" s="85">
        <f>(C4+C5)/(1-C7/1000*(C4+C5))-C14</f>
        <v>-0.75</v>
      </c>
      <c r="D15" s="86" t="s">
        <v>37</v>
      </c>
      <c r="E15" s="38" t="s">
        <v>166</v>
      </c>
      <c r="F15" s="28" t="str">
        <f>IF(ABS(F8)&lt;ABS(F7),"IA &lt; GA  -&gt; Hartlinsenvorteil","GA &lt; IA  -&gt; Weichlinsenvorteil")</f>
        <v>IA &lt; GA  -&gt; Hartlinsenvorteil</v>
      </c>
      <c r="G15" s="28"/>
      <c r="H15" s="28"/>
      <c r="I15" s="28"/>
      <c r="J15" s="28"/>
      <c r="K15" s="499"/>
      <c r="L15" s="191"/>
      <c r="M15" s="38"/>
      <c r="N15" s="38"/>
      <c r="O15" s="38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67"/>
      <c r="AZ15" s="67"/>
      <c r="BA15" s="67"/>
      <c r="BB15" s="67"/>
      <c r="BC15" s="67"/>
      <c r="BD15" s="73"/>
      <c r="BE15" s="93"/>
      <c r="BF15" s="67"/>
    </row>
    <row r="16" spans="1:59" ht="15" customHeight="1" x14ac:dyDescent="0.2">
      <c r="A16" s="191"/>
      <c r="B16" s="97" t="s">
        <v>6</v>
      </c>
      <c r="C16" s="87">
        <f>C6</f>
        <v>10</v>
      </c>
      <c r="D16" s="86" t="s">
        <v>4</v>
      </c>
      <c r="E16" s="67"/>
      <c r="F16" s="28" t="str">
        <f>IF(ABS(F8)&lt;ABS(F7),IF(ABS(F8)&lt;=0.50001,"IA &lt;= 0,5  -&gt; sphärisch wirksame Linse","IA &gt; 0,5  -&gt;  astigmatische Linse"),IF(ABS(F7)&lt;=0.5,"GA &lt;= 0,5  -&gt; sphärisch wirksame Linse","GA &gt; 0,5  -&gt;  astigmatische Linse"))</f>
        <v>IA &lt;= 0,5  -&gt; sphärisch wirksame Linse</v>
      </c>
      <c r="G16" s="28"/>
      <c r="H16" s="28"/>
      <c r="I16" s="28"/>
      <c r="J16" s="499"/>
      <c r="K16" s="499"/>
      <c r="L16" s="191"/>
      <c r="M16" s="38"/>
      <c r="N16" s="67"/>
      <c r="O16" s="67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67"/>
      <c r="AZ16" s="67"/>
      <c r="BA16" s="67"/>
      <c r="BB16" s="67"/>
      <c r="BC16" s="67"/>
      <c r="BD16" s="73"/>
      <c r="BE16" s="93"/>
      <c r="BF16" s="67"/>
    </row>
    <row r="17" spans="1:58" ht="15" customHeight="1" x14ac:dyDescent="0.2">
      <c r="A17" s="191"/>
      <c r="B17" s="97" t="s">
        <v>40</v>
      </c>
      <c r="C17" s="87">
        <v>0</v>
      </c>
      <c r="D17" s="86" t="s">
        <v>1</v>
      </c>
      <c r="E17" s="38"/>
      <c r="F17" s="28" t="str">
        <f>IF(ABS(F8)&lt;ABS(F7),IF(F11&lt;0.4,"Δ rc &lt; 0,4  -&gt;  rotationssymmetrische Rückfläche","Δ rc &gt;= 0,4  -&gt;  rücktorische Fläche"),"")</f>
        <v>Δ rc &lt; 0,4  -&gt;  rotationssymmetrische Rückfläche</v>
      </c>
      <c r="G17" s="28"/>
      <c r="H17" s="28"/>
      <c r="I17" s="28"/>
      <c r="J17" s="28"/>
      <c r="K17" s="28"/>
      <c r="L17" s="191"/>
      <c r="M17" s="38"/>
      <c r="N17" s="67"/>
      <c r="O17" s="67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67"/>
      <c r="AZ17" s="67"/>
      <c r="BA17" s="67"/>
      <c r="BB17" s="67"/>
      <c r="BC17" s="67"/>
      <c r="BD17" s="73"/>
      <c r="BE17" s="93"/>
      <c r="BF17" s="67"/>
    </row>
    <row r="18" spans="1:58" ht="15" customHeight="1" x14ac:dyDescent="0.2">
      <c r="A18" s="191"/>
      <c r="B18" s="86"/>
      <c r="C18" s="86"/>
      <c r="D18" s="86"/>
      <c r="E18" s="86"/>
      <c r="F18" s="28" t="str">
        <f>IF(F9="RT - rücktorische HL / BTX",IF(AND(F9="RT - rücktorische HL / BTX",ABS(F6/3-F8)&lt;=0.1),"RT - Vollkorrektionsfall weil IA=HHA/3","RT - Linse als Messlinse für BTX"),"")</f>
        <v/>
      </c>
      <c r="G18" s="86"/>
      <c r="H18" s="86"/>
      <c r="I18" s="86"/>
      <c r="J18" s="86"/>
      <c r="K18" s="86"/>
      <c r="L18" s="195"/>
      <c r="M18" s="67"/>
      <c r="N18" s="67"/>
      <c r="O18" s="67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67"/>
      <c r="AZ18" s="67"/>
      <c r="BA18" s="67"/>
      <c r="BB18" s="137"/>
      <c r="BC18" s="67"/>
      <c r="BD18" s="73"/>
      <c r="BE18" s="93"/>
      <c r="BF18" s="67"/>
    </row>
    <row r="19" spans="1:58" ht="15" customHeigh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67"/>
      <c r="N19" s="67"/>
      <c r="O19" s="67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67"/>
      <c r="AZ19" s="67"/>
      <c r="BA19" s="67"/>
      <c r="BB19" s="67"/>
      <c r="BC19" s="73"/>
      <c r="BD19" s="67"/>
      <c r="BE19" s="67"/>
      <c r="BF19" s="67"/>
    </row>
    <row r="20" spans="1:58" ht="15" customHeight="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103"/>
      <c r="M20" s="103"/>
      <c r="N20" s="103"/>
      <c r="O20" s="103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67"/>
      <c r="AZ20" s="67"/>
      <c r="BA20" s="67"/>
      <c r="BB20" s="145"/>
      <c r="BC20" s="73"/>
      <c r="BD20" s="67"/>
      <c r="BE20" s="67"/>
      <c r="BF20" s="67"/>
    </row>
    <row r="21" spans="1:58" ht="15" customHeigh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67"/>
      <c r="M21" s="67"/>
      <c r="N21" s="67"/>
      <c r="O21" s="67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67"/>
      <c r="AZ21" s="67"/>
      <c r="BA21" s="67"/>
      <c r="BB21" s="67"/>
      <c r="BC21" s="67"/>
      <c r="BD21" s="67"/>
      <c r="BE21" s="67"/>
      <c r="BF21" s="67"/>
    </row>
    <row r="22" spans="1:58" ht="15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07"/>
      <c r="M22" s="107"/>
      <c r="N22" s="107"/>
      <c r="O22" s="107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67"/>
      <c r="AZ22" s="67"/>
      <c r="BA22" s="67"/>
      <c r="BB22" s="145"/>
      <c r="BC22" s="38"/>
      <c r="BD22" s="73"/>
      <c r="BE22" s="108"/>
      <c r="BF22" s="67"/>
    </row>
    <row r="23" spans="1:58" ht="15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67"/>
      <c r="M23" s="67"/>
      <c r="N23" s="67"/>
      <c r="O23" s="67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67"/>
      <c r="AZ23" s="67"/>
      <c r="BA23" s="67"/>
      <c r="BB23" s="67"/>
      <c r="BC23" s="67"/>
      <c r="BD23" s="73"/>
      <c r="BE23" s="108"/>
      <c r="BF23" s="67"/>
    </row>
    <row r="24" spans="1:58" ht="15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67"/>
      <c r="M24" s="67"/>
      <c r="N24" s="67"/>
      <c r="O24" s="67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67"/>
      <c r="AZ24" s="67"/>
      <c r="BA24" s="67"/>
      <c r="BB24" s="67"/>
      <c r="BC24" s="145"/>
      <c r="BD24" s="73"/>
      <c r="BE24" s="93"/>
      <c r="BF24" s="67"/>
    </row>
    <row r="25" spans="1:58" ht="15" customHeight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67"/>
      <c r="AZ25" s="67"/>
      <c r="BA25" s="67"/>
      <c r="BB25" s="67"/>
      <c r="BC25" s="67"/>
      <c r="BD25" s="73"/>
      <c r="BE25" s="93"/>
      <c r="BF25" s="67"/>
    </row>
    <row r="26" spans="1:58" ht="15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67"/>
      <c r="AZ26" s="67"/>
      <c r="BA26" s="67"/>
      <c r="BB26" s="67"/>
      <c r="BC26" s="67"/>
      <c r="BD26" s="73"/>
      <c r="BE26" s="93"/>
      <c r="BF26" s="67"/>
    </row>
    <row r="27" spans="1:58" ht="15" customHeight="1" x14ac:dyDescent="0.2">
      <c r="A27" s="38"/>
      <c r="B27" s="6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67"/>
      <c r="AZ27" s="67"/>
      <c r="BA27" s="67"/>
      <c r="BB27" s="67"/>
      <c r="BC27" s="67"/>
      <c r="BD27" s="73"/>
      <c r="BE27" s="93"/>
      <c r="BF27" s="67"/>
    </row>
    <row r="28" spans="1:58" ht="15" customHeight="1" x14ac:dyDescent="0.2">
      <c r="A28" s="38"/>
      <c r="B28" s="69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67"/>
      <c r="AZ28" s="67"/>
      <c r="BA28" s="67"/>
      <c r="BB28" s="67"/>
      <c r="BC28" s="67"/>
      <c r="BD28" s="67"/>
      <c r="BE28" s="67"/>
      <c r="BF28" s="67"/>
    </row>
    <row r="29" spans="1:58" ht="15" customHeight="1" x14ac:dyDescent="0.2">
      <c r="A29" s="38"/>
      <c r="B29" s="69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67"/>
      <c r="AZ29" s="67"/>
      <c r="BA29" s="67"/>
      <c r="BB29" s="67"/>
      <c r="BC29" s="67"/>
      <c r="BD29" s="67"/>
      <c r="BE29" s="67"/>
      <c r="BF29" s="67"/>
    </row>
    <row r="30" spans="1:58" x14ac:dyDescent="0.2">
      <c r="A30" s="38"/>
      <c r="B30" s="69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67"/>
      <c r="AZ30" s="67"/>
      <c r="BA30" s="67"/>
      <c r="BB30" s="67"/>
      <c r="BC30" s="67"/>
      <c r="BD30" s="67"/>
      <c r="BE30" s="67"/>
      <c r="BF30" s="67"/>
    </row>
    <row r="31" spans="1:58" ht="16.5" customHeight="1" x14ac:dyDescent="0.2">
      <c r="A31" s="38"/>
      <c r="B31" s="69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67"/>
      <c r="AZ31" s="180"/>
      <c r="BA31" s="181"/>
      <c r="BB31" s="67"/>
      <c r="BC31" s="89"/>
      <c r="BD31" s="67"/>
      <c r="BE31" s="67"/>
      <c r="BF31" s="67"/>
    </row>
    <row r="32" spans="1:58" ht="15" customHeight="1" x14ac:dyDescent="0.2">
      <c r="A32" s="38"/>
      <c r="B32" s="6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67"/>
      <c r="AZ32" s="89"/>
      <c r="BA32" s="67"/>
      <c r="BB32" s="67"/>
      <c r="BC32" s="67"/>
      <c r="BD32" s="67"/>
      <c r="BE32" s="67"/>
      <c r="BF32" s="67"/>
    </row>
    <row r="33" spans="1:58" ht="13.5" customHeight="1" x14ac:dyDescent="0.2">
      <c r="A33" s="38"/>
      <c r="B33" s="69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67"/>
      <c r="AZ33" s="89"/>
      <c r="BA33" s="67"/>
      <c r="BB33" s="67"/>
      <c r="BC33" s="67"/>
      <c r="BD33" s="67"/>
      <c r="BE33" s="67"/>
      <c r="BF33" s="67"/>
    </row>
    <row r="34" spans="1:58" x14ac:dyDescent="0.2">
      <c r="A34" s="38"/>
      <c r="B34" s="6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67"/>
      <c r="AZ34" s="89"/>
      <c r="BA34" s="67"/>
      <c r="BB34" s="67"/>
      <c r="BC34" s="89"/>
      <c r="BD34" s="67"/>
      <c r="BE34" s="67"/>
      <c r="BF34" s="67"/>
    </row>
    <row r="35" spans="1:58" ht="12" customHeight="1" x14ac:dyDescent="0.2">
      <c r="A35" s="38"/>
      <c r="B35" s="69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67"/>
      <c r="AZ35" s="89"/>
      <c r="BA35" s="67"/>
      <c r="BB35" s="67"/>
      <c r="BC35" s="67"/>
      <c r="BD35" s="67"/>
      <c r="BE35" s="67"/>
      <c r="BF35" s="67"/>
    </row>
    <row r="36" spans="1:58" x14ac:dyDescent="0.2">
      <c r="A36" s="38"/>
      <c r="B36" s="6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67"/>
      <c r="AZ36" s="180"/>
      <c r="BA36" s="67"/>
      <c r="BB36" s="67"/>
      <c r="BC36" s="67"/>
      <c r="BD36" s="67"/>
      <c r="BE36" s="67"/>
      <c r="BF36" s="67"/>
    </row>
    <row r="37" spans="1:58" x14ac:dyDescent="0.2">
      <c r="A37" s="38"/>
      <c r="B37" s="6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67"/>
      <c r="AZ37" s="89"/>
      <c r="BA37" s="67"/>
      <c r="BB37" s="67"/>
      <c r="BC37" s="67"/>
      <c r="BD37" s="108"/>
      <c r="BE37" s="148"/>
      <c r="BF37" s="67"/>
    </row>
    <row r="38" spans="1:58" x14ac:dyDescent="0.2">
      <c r="A38" s="38"/>
      <c r="B38" s="69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67"/>
      <c r="AZ38" s="89"/>
      <c r="BA38" s="67"/>
      <c r="BB38" s="67"/>
      <c r="BC38" s="67"/>
      <c r="BD38" s="73"/>
      <c r="BE38" s="67"/>
      <c r="BF38" s="67"/>
    </row>
    <row r="39" spans="1:58" x14ac:dyDescent="0.2">
      <c r="A39" s="38"/>
      <c r="B39" s="69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67"/>
      <c r="AZ39" s="89"/>
      <c r="BA39" s="67"/>
      <c r="BB39" s="67"/>
      <c r="BC39" s="67"/>
      <c r="BD39" s="73"/>
      <c r="BE39" s="67"/>
      <c r="BF39" s="67"/>
    </row>
    <row r="40" spans="1:58" ht="9" customHeight="1" x14ac:dyDescent="0.2">
      <c r="A40" s="38"/>
      <c r="B40" s="69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67"/>
      <c r="AZ40" s="89"/>
      <c r="BA40" s="67"/>
      <c r="BB40" s="67"/>
      <c r="BC40" s="67"/>
      <c r="BD40" s="73"/>
      <c r="BE40" s="67"/>
      <c r="BF40" s="67"/>
    </row>
    <row r="41" spans="1:58" x14ac:dyDescent="0.2">
      <c r="A41" s="38"/>
      <c r="B41" s="69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67"/>
      <c r="AZ41" s="89"/>
      <c r="BA41" s="67"/>
      <c r="BB41" s="100"/>
      <c r="BC41" s="89"/>
      <c r="BD41" s="73"/>
      <c r="BE41" s="93"/>
      <c r="BF41" s="67"/>
    </row>
    <row r="42" spans="1:58" x14ac:dyDescent="0.2">
      <c r="A42" s="38"/>
      <c r="B42" s="69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67"/>
      <c r="AZ42" s="67"/>
      <c r="BA42" s="67"/>
      <c r="BB42" s="100"/>
      <c r="BC42" s="89"/>
      <c r="BD42" s="73"/>
      <c r="BE42" s="93"/>
      <c r="BF42" s="67"/>
    </row>
    <row r="43" spans="1:58" ht="14.25" customHeight="1" x14ac:dyDescent="0.2">
      <c r="A43" s="38"/>
      <c r="B43" s="69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67"/>
      <c r="AZ43" s="67"/>
      <c r="BA43" s="67"/>
      <c r="BB43" s="67"/>
      <c r="BC43" s="67"/>
      <c r="BD43" s="67"/>
      <c r="BE43" s="67"/>
      <c r="BF43" s="67"/>
    </row>
    <row r="44" spans="1:58" x14ac:dyDescent="0.2">
      <c r="A44" s="38"/>
      <c r="B44" s="69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67"/>
      <c r="AZ44" s="67"/>
      <c r="BA44" s="93"/>
      <c r="BB44" s="67"/>
      <c r="BC44" s="67"/>
      <c r="BD44" s="67"/>
      <c r="BE44" s="67"/>
      <c r="BF44" s="67"/>
    </row>
    <row r="45" spans="1:58" x14ac:dyDescent="0.2">
      <c r="A45" s="38"/>
      <c r="B45" s="69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67"/>
      <c r="AZ45" s="67"/>
      <c r="BA45" s="67"/>
      <c r="BB45" s="67"/>
      <c r="BC45" s="67"/>
      <c r="BD45" s="67"/>
      <c r="BE45" s="67"/>
      <c r="BF45" s="67"/>
    </row>
    <row r="46" spans="1:58" x14ac:dyDescent="0.2">
      <c r="A46" s="38"/>
      <c r="B46" s="69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67"/>
      <c r="AZ46" s="67"/>
      <c r="BA46" s="38"/>
      <c r="BB46" s="38"/>
      <c r="BC46" s="108"/>
      <c r="BD46" s="93"/>
      <c r="BE46" s="38"/>
      <c r="BF46" s="38"/>
    </row>
    <row r="47" spans="1:58" x14ac:dyDescent="0.2">
      <c r="A47" s="38"/>
      <c r="B47" s="6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67"/>
      <c r="AZ47" s="67"/>
      <c r="BA47" s="67"/>
      <c r="BB47" s="67"/>
      <c r="BC47" s="67"/>
      <c r="BD47" s="67"/>
      <c r="BE47" s="67"/>
      <c r="BF47" s="67"/>
    </row>
    <row r="48" spans="1:58" x14ac:dyDescent="0.2">
      <c r="A48" s="38"/>
      <c r="B48" s="69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67"/>
      <c r="AZ48" s="67"/>
      <c r="BA48" s="67"/>
      <c r="BB48" s="67"/>
      <c r="BC48" s="67"/>
      <c r="BD48" s="38"/>
      <c r="BE48" s="67"/>
      <c r="BF48" s="67"/>
    </row>
    <row r="49" spans="1:58" x14ac:dyDescent="0.2">
      <c r="A49" s="38"/>
      <c r="B49" s="69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67"/>
      <c r="AZ49" s="67"/>
      <c r="BA49" s="67"/>
      <c r="BB49" s="67"/>
      <c r="BC49" s="67"/>
      <c r="BD49" s="67"/>
      <c r="BE49" s="67"/>
      <c r="BF49" s="67"/>
    </row>
    <row r="50" spans="1:58" x14ac:dyDescent="0.2">
      <c r="A50" s="38"/>
      <c r="B50" s="6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67"/>
      <c r="AZ50" s="67"/>
      <c r="BA50" s="67"/>
      <c r="BB50" s="67"/>
      <c r="BC50" s="67"/>
      <c r="BD50" s="67"/>
      <c r="BE50" s="67"/>
      <c r="BF50" s="67"/>
    </row>
    <row r="51" spans="1:58" x14ac:dyDescent="0.2">
      <c r="A51" s="38"/>
      <c r="B51" s="69" t="s">
        <v>2</v>
      </c>
      <c r="C51" s="38"/>
      <c r="D51" s="38"/>
      <c r="E51" s="67"/>
      <c r="F51" s="67"/>
      <c r="G51" s="67"/>
      <c r="H51" s="67"/>
      <c r="I51" s="38"/>
      <c r="J51" s="38"/>
      <c r="K51" s="38"/>
      <c r="L51" s="38"/>
      <c r="M51" s="38"/>
      <c r="N51" s="38"/>
      <c r="O51" s="38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38"/>
      <c r="AZ51" s="38"/>
      <c r="BA51" s="38"/>
      <c r="BB51" s="38"/>
      <c r="BC51" s="38"/>
      <c r="BD51" s="38"/>
      <c r="BE51" s="190"/>
      <c r="BF51" s="67"/>
    </row>
    <row r="52" spans="1:58" x14ac:dyDescent="0.2">
      <c r="A52" s="38"/>
      <c r="B52" s="69"/>
      <c r="C52" s="38"/>
      <c r="D52" s="38"/>
      <c r="E52" s="67" t="s">
        <v>2</v>
      </c>
      <c r="F52" s="67"/>
      <c r="G52" s="67"/>
      <c r="H52" s="67"/>
      <c r="I52" s="38"/>
      <c r="J52" s="38"/>
      <c r="K52" s="38"/>
      <c r="L52" s="38"/>
      <c r="M52" s="38"/>
      <c r="N52" s="38"/>
      <c r="O52" s="38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38"/>
      <c r="AZ52" s="38"/>
      <c r="BA52" s="38"/>
      <c r="BB52" s="38"/>
      <c r="BC52" s="38"/>
      <c r="BD52" s="38"/>
      <c r="BE52" s="38"/>
      <c r="BF52" s="38"/>
    </row>
    <row r="53" spans="1:58" x14ac:dyDescent="0.2">
      <c r="A53" s="38"/>
      <c r="B53" s="69"/>
      <c r="C53" s="38"/>
      <c r="D53" s="38"/>
      <c r="E53" s="38" t="s">
        <v>2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38"/>
      <c r="AZ53" s="38"/>
      <c r="BA53" s="38"/>
      <c r="BB53" s="38"/>
      <c r="BC53" s="38"/>
      <c r="BD53" s="38"/>
      <c r="BE53" s="38"/>
      <c r="BF53" s="38"/>
    </row>
    <row r="54" spans="1:58" x14ac:dyDescent="0.2">
      <c r="A54" s="38"/>
      <c r="B54" s="69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38"/>
      <c r="AZ54" s="38"/>
      <c r="BA54" s="38"/>
      <c r="BB54" s="38"/>
      <c r="BC54" s="38"/>
      <c r="BD54" s="38"/>
      <c r="BE54" s="38"/>
      <c r="BF54" s="38"/>
    </row>
    <row r="55" spans="1:58" x14ac:dyDescent="0.2">
      <c r="A55" s="38"/>
      <c r="B55" s="69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38"/>
      <c r="AZ55" s="38"/>
      <c r="BA55" s="38"/>
      <c r="BB55" s="38"/>
      <c r="BC55" s="38"/>
      <c r="BD55" s="38"/>
      <c r="BE55" s="38"/>
      <c r="BF55" s="38"/>
    </row>
    <row r="56" spans="1:58" x14ac:dyDescent="0.2">
      <c r="A56" s="38"/>
      <c r="B56" s="69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38"/>
      <c r="AZ56" s="38"/>
      <c r="BA56" s="38"/>
      <c r="BB56" s="38"/>
      <c r="BC56" s="38"/>
      <c r="BD56" s="38"/>
      <c r="BE56" s="38"/>
      <c r="BF56" s="38"/>
    </row>
    <row r="57" spans="1:58" x14ac:dyDescent="0.2">
      <c r="A57" s="38"/>
      <c r="B57" s="69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38"/>
      <c r="AZ57" s="38"/>
      <c r="BA57" s="38"/>
      <c r="BB57" s="38"/>
      <c r="BC57" s="38"/>
      <c r="BD57" s="38"/>
      <c r="BE57" s="38"/>
      <c r="BF57" s="38"/>
    </row>
    <row r="58" spans="1:58" x14ac:dyDescent="0.2">
      <c r="A58" s="38"/>
      <c r="B58" s="69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38"/>
      <c r="AZ58" s="38"/>
      <c r="BA58" s="38"/>
      <c r="BB58" s="38"/>
      <c r="BC58" s="38"/>
      <c r="BD58" s="38"/>
      <c r="BE58" s="38"/>
      <c r="BF58" s="38"/>
    </row>
    <row r="59" spans="1:58" x14ac:dyDescent="0.2">
      <c r="A59" s="38"/>
      <c r="B59" s="69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38"/>
      <c r="AZ59" s="38"/>
      <c r="BA59" s="38"/>
      <c r="BB59" s="38"/>
      <c r="BC59" s="38"/>
      <c r="BD59" s="38"/>
      <c r="BE59" s="38"/>
      <c r="BF59" s="38"/>
    </row>
    <row r="60" spans="1:58" x14ac:dyDescent="0.2">
      <c r="A60" s="38"/>
      <c r="B60" s="69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38"/>
      <c r="AZ60" s="38"/>
      <c r="BA60" s="38"/>
      <c r="BB60" s="38"/>
      <c r="BC60" s="38"/>
      <c r="BD60" s="38"/>
      <c r="BE60" s="38"/>
      <c r="BF60" s="38"/>
    </row>
    <row r="61" spans="1:58" x14ac:dyDescent="0.2">
      <c r="A61" s="38"/>
      <c r="B61" s="69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38"/>
      <c r="AZ61" s="38"/>
      <c r="BA61" s="38"/>
      <c r="BB61" s="38"/>
      <c r="BC61" s="38"/>
      <c r="BD61" s="38"/>
      <c r="BE61" s="38"/>
      <c r="BF61" s="38"/>
    </row>
    <row r="62" spans="1:58" x14ac:dyDescent="0.2">
      <c r="A62" s="38"/>
      <c r="B62" s="69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38"/>
      <c r="AZ62" s="38"/>
      <c r="BA62" s="38"/>
      <c r="BB62" s="38"/>
      <c r="BC62" s="38"/>
      <c r="BD62" s="38"/>
      <c r="BE62" s="38"/>
      <c r="BF62" s="38"/>
    </row>
    <row r="63" spans="1:58" x14ac:dyDescent="0.2">
      <c r="A63" s="38"/>
      <c r="B63" s="69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38"/>
      <c r="AZ63" s="38"/>
      <c r="BA63" s="38"/>
      <c r="BB63" s="38"/>
      <c r="BC63" s="38"/>
      <c r="BD63" s="38"/>
      <c r="BE63" s="38"/>
      <c r="BF63" s="38"/>
    </row>
    <row r="64" spans="1:58" x14ac:dyDescent="0.2">
      <c r="A64" s="38"/>
      <c r="B64" s="69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38"/>
      <c r="AZ64" s="38"/>
      <c r="BA64" s="38"/>
      <c r="BB64" s="38"/>
      <c r="BC64" s="38"/>
      <c r="BD64" s="38"/>
      <c r="BE64" s="38"/>
      <c r="BF64" s="38"/>
    </row>
    <row r="65" spans="1:58" x14ac:dyDescent="0.2">
      <c r="A65" s="38"/>
      <c r="B65" s="69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38"/>
      <c r="AZ65" s="38"/>
      <c r="BA65" s="38"/>
      <c r="BB65" s="38"/>
      <c r="BC65" s="38"/>
      <c r="BD65" s="38"/>
      <c r="BE65" s="38"/>
      <c r="BF65" s="38"/>
    </row>
    <row r="66" spans="1:58" x14ac:dyDescent="0.2">
      <c r="A66" s="38"/>
      <c r="B66" s="69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38"/>
      <c r="AZ66" s="38"/>
      <c r="BA66" s="38"/>
      <c r="BB66" s="38"/>
      <c r="BC66" s="38"/>
      <c r="BD66" s="38"/>
      <c r="BE66" s="38"/>
      <c r="BF66" s="38"/>
    </row>
    <row r="67" spans="1:58" x14ac:dyDescent="0.2">
      <c r="A67" s="38"/>
      <c r="B67" s="69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38"/>
      <c r="AZ67" s="38"/>
      <c r="BA67" s="38"/>
      <c r="BB67" s="38"/>
      <c r="BC67" s="38"/>
      <c r="BD67" s="38"/>
      <c r="BE67" s="38"/>
      <c r="BF67" s="38"/>
    </row>
    <row r="68" spans="1:58" x14ac:dyDescent="0.2">
      <c r="A68" s="38"/>
      <c r="B68" s="69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38"/>
      <c r="AZ68" s="38"/>
      <c r="BA68" s="38"/>
      <c r="BB68" s="38"/>
      <c r="BC68" s="38"/>
      <c r="BD68" s="38"/>
      <c r="BE68" s="38"/>
      <c r="BF68" s="38"/>
    </row>
    <row r="69" spans="1:58" x14ac:dyDescent="0.2">
      <c r="A69" s="38"/>
      <c r="B69" s="69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38"/>
      <c r="AZ69" s="38"/>
      <c r="BA69" s="38"/>
      <c r="BB69" s="38"/>
      <c r="BC69" s="38"/>
      <c r="BD69" s="38"/>
      <c r="BE69" s="38"/>
      <c r="BF69" s="38"/>
    </row>
    <row r="70" spans="1:58" x14ac:dyDescent="0.2">
      <c r="A70" s="38"/>
      <c r="B70" s="69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38"/>
      <c r="AZ70" s="38"/>
      <c r="BA70" s="38"/>
      <c r="BB70" s="38"/>
      <c r="BC70" s="38"/>
      <c r="BD70" s="38"/>
      <c r="BE70" s="38"/>
      <c r="BF70" s="38"/>
    </row>
    <row r="71" spans="1:58" x14ac:dyDescent="0.2">
      <c r="A71" s="38"/>
      <c r="B71" s="69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38"/>
      <c r="AZ71" s="38"/>
      <c r="BA71" s="38"/>
      <c r="BB71" s="38"/>
      <c r="BC71" s="38"/>
      <c r="BD71" s="38"/>
      <c r="BE71" s="38"/>
      <c r="BF71" s="38"/>
    </row>
    <row r="72" spans="1:58" x14ac:dyDescent="0.2">
      <c r="A72" s="38"/>
      <c r="B72" s="69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38"/>
      <c r="AZ72" s="38"/>
      <c r="BA72" s="38"/>
      <c r="BB72" s="38"/>
      <c r="BC72" s="38"/>
      <c r="BD72" s="38"/>
      <c r="BE72" s="38"/>
      <c r="BF72" s="38"/>
    </row>
    <row r="73" spans="1:58" x14ac:dyDescent="0.2">
      <c r="A73" s="38"/>
      <c r="B73" s="69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38"/>
      <c r="AZ73" s="38"/>
      <c r="BA73" s="38"/>
      <c r="BB73" s="38"/>
      <c r="BC73" s="38"/>
      <c r="BD73" s="38"/>
      <c r="BE73" s="38"/>
      <c r="BF73" s="38"/>
    </row>
    <row r="74" spans="1:58" x14ac:dyDescent="0.2">
      <c r="A74" s="38"/>
      <c r="B74" s="69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38"/>
      <c r="AZ74" s="38"/>
      <c r="BA74" s="38"/>
      <c r="BB74" s="38"/>
      <c r="BC74" s="38"/>
      <c r="BD74" s="38"/>
      <c r="BE74" s="38"/>
      <c r="BF74" s="38"/>
    </row>
    <row r="75" spans="1:58" x14ac:dyDescent="0.2">
      <c r="A75" s="38"/>
      <c r="B75" s="69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38"/>
      <c r="AZ75" s="38"/>
      <c r="BA75" s="38"/>
      <c r="BB75" s="38"/>
      <c r="BC75" s="38"/>
      <c r="BD75" s="38"/>
      <c r="BE75" s="38"/>
      <c r="BF75" s="38"/>
    </row>
    <row r="76" spans="1:58" x14ac:dyDescent="0.2">
      <c r="A76" s="38"/>
      <c r="B76" s="6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38"/>
      <c r="AZ76" s="38"/>
      <c r="BA76" s="38"/>
      <c r="BB76" s="38"/>
      <c r="BC76" s="38"/>
      <c r="BD76" s="38"/>
      <c r="BE76" s="38"/>
      <c r="BF76" s="38"/>
    </row>
    <row r="77" spans="1:58" x14ac:dyDescent="0.2">
      <c r="A77" s="38"/>
      <c r="B77" s="69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38"/>
      <c r="AZ77" s="38"/>
      <c r="BA77" s="38"/>
      <c r="BB77" s="38"/>
      <c r="BC77" s="38"/>
      <c r="BD77" s="38"/>
      <c r="BE77" s="38"/>
      <c r="BF77" s="38"/>
    </row>
    <row r="78" spans="1:58" x14ac:dyDescent="0.2">
      <c r="A78" s="38"/>
      <c r="B78" s="69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38"/>
      <c r="AZ78" s="38"/>
      <c r="BA78" s="38"/>
      <c r="BB78" s="38"/>
      <c r="BC78" s="38"/>
      <c r="BD78" s="38"/>
      <c r="BE78" s="38"/>
      <c r="BF78" s="38"/>
    </row>
    <row r="79" spans="1:58" x14ac:dyDescent="0.2">
      <c r="A79" s="38"/>
      <c r="B79" s="69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38"/>
      <c r="AZ79" s="38"/>
      <c r="BA79" s="38"/>
      <c r="BB79" s="38"/>
      <c r="BC79" s="38"/>
      <c r="BD79" s="38"/>
      <c r="BE79" s="38"/>
      <c r="BF79" s="38"/>
    </row>
    <row r="80" spans="1:58" x14ac:dyDescent="0.2">
      <c r="A80" s="38"/>
      <c r="B80" s="69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38"/>
      <c r="AZ80" s="38"/>
      <c r="BA80" s="38"/>
      <c r="BB80" s="38"/>
      <c r="BC80" s="38"/>
      <c r="BD80" s="38"/>
      <c r="BE80" s="38"/>
      <c r="BF80" s="38"/>
    </row>
    <row r="81" spans="1:58" x14ac:dyDescent="0.2">
      <c r="A81" s="38"/>
      <c r="B81" s="69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38"/>
      <c r="AZ81" s="38"/>
      <c r="BA81" s="38"/>
      <c r="BB81" s="38"/>
      <c r="BC81" s="38"/>
      <c r="BD81" s="38"/>
      <c r="BE81" s="38"/>
      <c r="BF81" s="38"/>
    </row>
    <row r="82" spans="1:58" x14ac:dyDescent="0.2">
      <c r="A82" s="38"/>
      <c r="B82" s="69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38"/>
      <c r="AZ82" s="38"/>
      <c r="BA82" s="38"/>
      <c r="BB82" s="38"/>
      <c r="BC82" s="38"/>
      <c r="BD82" s="38"/>
      <c r="BE82" s="38"/>
      <c r="BF82" s="38"/>
    </row>
    <row r="83" spans="1:58" x14ac:dyDescent="0.2">
      <c r="A83" s="38"/>
      <c r="B83" s="6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38"/>
      <c r="AZ83" s="38"/>
      <c r="BA83" s="38"/>
      <c r="BB83" s="38"/>
      <c r="BC83" s="38"/>
      <c r="BD83" s="38"/>
      <c r="BE83" s="38"/>
      <c r="BF83" s="38"/>
    </row>
    <row r="84" spans="1:58" x14ac:dyDescent="0.2">
      <c r="A84" s="38"/>
      <c r="B84" s="69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38"/>
      <c r="AZ84" s="38"/>
      <c r="BA84" s="38"/>
      <c r="BB84" s="38"/>
      <c r="BC84" s="38"/>
      <c r="BD84" s="38"/>
      <c r="BE84" s="38"/>
      <c r="BF84" s="38"/>
    </row>
    <row r="85" spans="1:58" x14ac:dyDescent="0.2">
      <c r="A85" s="38"/>
      <c r="B85" s="69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38"/>
      <c r="AZ85" s="38"/>
      <c r="BA85" s="38"/>
      <c r="BB85" s="38"/>
      <c r="BC85" s="38"/>
      <c r="BD85" s="38"/>
      <c r="BE85" s="38"/>
      <c r="BF85" s="38"/>
    </row>
    <row r="86" spans="1:58" x14ac:dyDescent="0.2">
      <c r="A86" s="38"/>
      <c r="B86" s="6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38"/>
      <c r="AZ86" s="38"/>
      <c r="BA86" s="38"/>
      <c r="BB86" s="38"/>
      <c r="BC86" s="38"/>
      <c r="BD86" s="38"/>
      <c r="BE86" s="38"/>
      <c r="BF86" s="38"/>
    </row>
    <row r="87" spans="1:58" x14ac:dyDescent="0.2">
      <c r="A87" s="38"/>
      <c r="B87" s="69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38"/>
      <c r="AZ87" s="38"/>
      <c r="BA87" s="38"/>
      <c r="BB87" s="38"/>
      <c r="BC87" s="38"/>
      <c r="BD87" s="38"/>
      <c r="BE87" s="38"/>
      <c r="BF87" s="38"/>
    </row>
    <row r="88" spans="1:58" x14ac:dyDescent="0.2">
      <c r="A88" s="38"/>
      <c r="B88" s="6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38"/>
      <c r="AZ88" s="38"/>
      <c r="BA88" s="38"/>
      <c r="BB88" s="38"/>
      <c r="BC88" s="38"/>
      <c r="BD88" s="38"/>
      <c r="BE88" s="38"/>
      <c r="BF88" s="38"/>
    </row>
    <row r="89" spans="1:58" x14ac:dyDescent="0.2">
      <c r="A89" s="38"/>
      <c r="B89" s="69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38"/>
      <c r="AZ89" s="38"/>
      <c r="BA89" s="38"/>
      <c r="BB89" s="38"/>
      <c r="BC89" s="38"/>
      <c r="BD89" s="38"/>
      <c r="BE89" s="38"/>
      <c r="BF89" s="38"/>
    </row>
    <row r="90" spans="1:58" x14ac:dyDescent="0.2">
      <c r="A90" s="38"/>
      <c r="B90" s="69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38"/>
      <c r="AZ90" s="38"/>
      <c r="BA90" s="38"/>
      <c r="BB90" s="38"/>
      <c r="BC90" s="38"/>
      <c r="BD90" s="38"/>
      <c r="BE90" s="38"/>
      <c r="BF90" s="38"/>
    </row>
    <row r="91" spans="1:58" x14ac:dyDescent="0.2">
      <c r="A91" s="38"/>
      <c r="B91" s="6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38"/>
      <c r="AZ91" s="38"/>
      <c r="BA91" s="38"/>
      <c r="BB91" s="38"/>
      <c r="BC91" s="38"/>
      <c r="BD91" s="38"/>
      <c r="BE91" s="38"/>
      <c r="BF91" s="38"/>
    </row>
    <row r="92" spans="1:58" x14ac:dyDescent="0.2">
      <c r="A92" s="38"/>
      <c r="B92" s="69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38"/>
      <c r="AZ92" s="38"/>
      <c r="BA92" s="38"/>
      <c r="BB92" s="38"/>
      <c r="BC92" s="38"/>
      <c r="BD92" s="38"/>
      <c r="BE92" s="38"/>
      <c r="BF92" s="38"/>
    </row>
    <row r="93" spans="1:58" x14ac:dyDescent="0.2">
      <c r="A93" s="38"/>
      <c r="B93" s="6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38"/>
      <c r="AZ93" s="38"/>
      <c r="BA93" s="38"/>
      <c r="BB93" s="38"/>
      <c r="BC93" s="38"/>
      <c r="BD93" s="38"/>
      <c r="BE93" s="38"/>
      <c r="BF93" s="38"/>
    </row>
    <row r="94" spans="1:58" x14ac:dyDescent="0.2">
      <c r="A94" s="38"/>
      <c r="B94" s="69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38"/>
      <c r="AZ94" s="38"/>
      <c r="BA94" s="38"/>
      <c r="BB94" s="38"/>
      <c r="BC94" s="38"/>
      <c r="BD94" s="38"/>
      <c r="BE94" s="38"/>
      <c r="BF94" s="38"/>
    </row>
    <row r="95" spans="1:58" x14ac:dyDescent="0.2">
      <c r="A95" s="38"/>
      <c r="B95" s="69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38"/>
      <c r="AZ95" s="38"/>
      <c r="BA95" s="38"/>
      <c r="BB95" s="38"/>
      <c r="BC95" s="38"/>
      <c r="BD95" s="38"/>
      <c r="BE95" s="38"/>
      <c r="BF95" s="38"/>
    </row>
    <row r="96" spans="1:58" x14ac:dyDescent="0.2">
      <c r="A96" s="38"/>
      <c r="B96" s="69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38"/>
      <c r="AZ96" s="38"/>
      <c r="BA96" s="38"/>
      <c r="BB96" s="38"/>
      <c r="BC96" s="38"/>
      <c r="BD96" s="38"/>
      <c r="BE96" s="38"/>
      <c r="BF96" s="38"/>
    </row>
    <row r="97" spans="1:58" x14ac:dyDescent="0.2">
      <c r="A97" s="38"/>
      <c r="B97" s="69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38"/>
      <c r="AZ97" s="38"/>
      <c r="BA97" s="38"/>
      <c r="BB97" s="38"/>
      <c r="BC97" s="38"/>
      <c r="BD97" s="38"/>
      <c r="BE97" s="38"/>
      <c r="BF97" s="38"/>
    </row>
    <row r="98" spans="1:58" x14ac:dyDescent="0.2">
      <c r="A98" s="38"/>
      <c r="B98" s="69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38"/>
      <c r="AZ98" s="38"/>
      <c r="BA98" s="38"/>
      <c r="BB98" s="38"/>
      <c r="BC98" s="38"/>
      <c r="BD98" s="38"/>
      <c r="BE98" s="38"/>
      <c r="BF98" s="38"/>
    </row>
    <row r="99" spans="1:58" x14ac:dyDescent="0.2">
      <c r="A99" s="38"/>
      <c r="B99" s="69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38"/>
      <c r="AZ99" s="38"/>
      <c r="BA99" s="38"/>
      <c r="BB99" s="38"/>
      <c r="BC99" s="38"/>
      <c r="BD99" s="38"/>
      <c r="BE99" s="38"/>
      <c r="BF99" s="38"/>
    </row>
    <row r="100" spans="1:58" x14ac:dyDescent="0.2">
      <c r="A100" s="38"/>
      <c r="B100" s="69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38"/>
      <c r="AZ100" s="38"/>
      <c r="BA100" s="38"/>
      <c r="BB100" s="38"/>
      <c r="BC100" s="38"/>
      <c r="BD100" s="38"/>
      <c r="BE100" s="38"/>
      <c r="BF100" s="38"/>
    </row>
    <row r="101" spans="1:58" x14ac:dyDescent="0.2">
      <c r="A101" s="38"/>
      <c r="B101" s="69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38"/>
      <c r="AZ101" s="38"/>
      <c r="BA101" s="38"/>
      <c r="BB101" s="38"/>
      <c r="BC101" s="38"/>
      <c r="BD101" s="38"/>
      <c r="BE101" s="38"/>
      <c r="BF101" s="38"/>
    </row>
    <row r="102" spans="1:58" x14ac:dyDescent="0.2">
      <c r="A102" s="38"/>
      <c r="B102" s="6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38"/>
      <c r="AZ102" s="38"/>
      <c r="BA102" s="38"/>
      <c r="BB102" s="38"/>
      <c r="BC102" s="38"/>
      <c r="BD102" s="38"/>
      <c r="BE102" s="38"/>
      <c r="BF102" s="38"/>
    </row>
    <row r="103" spans="1:58" x14ac:dyDescent="0.2">
      <c r="A103" s="38"/>
      <c r="B103" s="69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38"/>
      <c r="AZ103" s="38"/>
      <c r="BA103" s="38"/>
      <c r="BB103" s="38"/>
      <c r="BC103" s="38"/>
      <c r="BD103" s="38"/>
      <c r="BE103" s="38"/>
      <c r="BF103" s="38"/>
    </row>
    <row r="104" spans="1:58" x14ac:dyDescent="0.2">
      <c r="A104" s="38"/>
      <c r="B104" s="69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38"/>
      <c r="AZ104" s="38"/>
      <c r="BA104" s="38"/>
      <c r="BB104" s="38"/>
      <c r="BC104" s="38"/>
      <c r="BD104" s="38"/>
      <c r="BE104" s="38"/>
      <c r="BF104" s="38"/>
    </row>
    <row r="105" spans="1:58" x14ac:dyDescent="0.2">
      <c r="A105" s="38"/>
      <c r="B105" s="69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38"/>
      <c r="AZ105" s="38"/>
      <c r="BA105" s="38"/>
      <c r="BB105" s="38"/>
      <c r="BC105" s="38"/>
      <c r="BD105" s="38"/>
      <c r="BE105" s="38"/>
      <c r="BF105" s="38"/>
    </row>
    <row r="106" spans="1:58" x14ac:dyDescent="0.2">
      <c r="A106" s="38"/>
      <c r="B106" s="69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69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</row>
  </sheetData>
  <sheetProtection algorithmName="SHA-512" hashValue="JX00BVRcKBGte8taR8tETynl5SLV3+v3OyEP2CJlG82eoe2X0vZ/BT9VB08CkY87RANsRWRgWzsYTxE2LlbNdg==" saltValue="6Q3JMamZAMWCl/NelFqbew==" spinCount="100000" sheet="1" selectLockedCells="1"/>
  <dataValidations count="6">
    <dataValidation type="whole" allowBlank="1" showInputMessage="1" showErrorMessage="1" error="Horizontale Achseingabe zwischen 0° und 45° oder zwischen 135° und 180° eingeben." prompt="Achse des horizontalen Zentralradius eingeben._x000a_D.h. zwischen 0° und 45° oder 135° bis 180°." sqref="C10" xr:uid="{41715198-278E-46D7-B3BB-FCB6CFC37FCA}">
      <formula1>0</formula1>
      <formula2>180</formula2>
    </dataValidation>
    <dataValidation type="decimal" allowBlank="1" showInputMessage="1" showErrorMessage="1" error="Zentralradien zwischen 4 und 12 mm einegeben." sqref="C9 C11" xr:uid="{BD729A8E-741C-4625-8C45-5DAF4E5F66BD}">
      <formula1>4</formula1>
      <formula2>12</formula2>
    </dataValidation>
    <dataValidation type="whole" allowBlank="1" showInputMessage="1" showErrorMessage="1" error="HSA zwischen 0 und 25 mm eingeben. " sqref="C7" xr:uid="{7A5425B1-F781-4812-B73A-58B7D4890791}">
      <formula1>0</formula1>
      <formula2>25</formula2>
    </dataValidation>
    <dataValidation type="whole" allowBlank="1" showInputMessage="1" showErrorMessage="1" error="Achsen zwischen 0° und 180° eingeben._x000a_" sqref="C6" xr:uid="{4E0E00CB-F1A2-4330-B7B0-37041460BB36}">
      <formula1>0</formula1>
      <formula2>180</formula2>
    </dataValidation>
    <dataValidation type="decimal" errorStyle="warning" allowBlank="1" showInputMessage="1" showErrorMessage="1" errorTitle="ungültig !!" sqref="C4" xr:uid="{93CF03A3-95AE-48F2-937D-0498E903428C}">
      <formula1>-35</formula1>
      <formula2>35</formula2>
    </dataValidation>
    <dataValidation type="decimal" allowBlank="1" showInputMessage="1" showErrorMessage="1" error="Minus-Zylinder eingeben_x000a_zwischen 0 und -10,00 dpt." sqref="C5" xr:uid="{D63BEF27-C524-403E-A652-2BDDC9E6EC94}">
      <formula1>-10</formula1>
      <formula2>0</formula2>
    </dataValidation>
  </dataValidations>
  <hyperlinks>
    <hyperlink ref="D2:K2" r:id="rId1" display="Download neuste Version" xr:uid="{071C92B5-87B6-4487-B06C-47322091239C}"/>
    <hyperlink ref="C2:E2" r:id="rId2" display="Download neuste Version" xr:uid="{395A4389-E130-42DD-87EC-85AA14B16A49}"/>
  </hyperlinks>
  <pageMargins left="0.70866141732283472" right="0.70866141732283472" top="0.59" bottom="0.55000000000000004" header="0.31496062992125984" footer="0.31496062992125984"/>
  <pageSetup paperSize="9" scale="115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3ACA-9A64-4649-A353-17857EFC06F7}">
  <dimension ref="A1:BP103"/>
  <sheetViews>
    <sheetView showGridLines="0" showRowColHeaders="0" zoomScale="160" zoomScaleNormal="160" workbookViewId="0">
      <selection activeCell="E4" sqref="E4"/>
    </sheetView>
  </sheetViews>
  <sheetFormatPr baseColWidth="10" defaultColWidth="11.42578125" defaultRowHeight="12.75" x14ac:dyDescent="0.2"/>
  <cols>
    <col min="1" max="1" width="1.7109375" style="60" customWidth="1"/>
    <col min="2" max="2" width="5.140625" style="59" customWidth="1"/>
    <col min="3" max="3" width="5" style="59" customWidth="1"/>
    <col min="4" max="4" width="3.85546875" style="59" customWidth="1"/>
    <col min="5" max="5" width="6.85546875" style="60" customWidth="1"/>
    <col min="6" max="6" width="4.42578125" style="60" customWidth="1"/>
    <col min="7" max="7" width="4.7109375" style="60" customWidth="1"/>
    <col min="8" max="8" width="5.7109375" style="60" customWidth="1"/>
    <col min="9" max="10" width="7" style="60" customWidth="1"/>
    <col min="11" max="11" width="7.7109375" style="60" customWidth="1"/>
    <col min="12" max="12" width="6.42578125" style="60" customWidth="1"/>
    <col min="13" max="13" width="1.140625" style="60" customWidth="1"/>
    <col min="14" max="14" width="8.28515625" style="60" customWidth="1"/>
    <col min="15" max="15" width="7" style="60" customWidth="1"/>
    <col min="16" max="16" width="3.42578125" style="60" customWidth="1"/>
    <col min="17" max="17" width="4.140625" style="527" customWidth="1"/>
    <col min="18" max="19" width="4.140625" style="60" customWidth="1"/>
    <col min="20" max="20" width="14.140625" style="60" customWidth="1"/>
    <col min="21" max="21" width="1.42578125" style="60" customWidth="1"/>
    <col min="22" max="22" width="9.42578125" style="60" customWidth="1"/>
    <col min="23" max="23" width="2.7109375" style="60" customWidth="1"/>
    <col min="24" max="24" width="43.28515625" style="60" customWidth="1"/>
    <col min="25" max="25" width="8.5703125" style="60" customWidth="1"/>
    <col min="26" max="26" width="7.42578125" style="60" customWidth="1"/>
    <col min="27" max="27" width="2.42578125" style="60" customWidth="1"/>
    <col min="28" max="28" width="10.140625" style="60" customWidth="1"/>
    <col min="29" max="30" width="4.140625" style="60" customWidth="1"/>
    <col min="31" max="31" width="5.5703125" style="60" customWidth="1"/>
    <col min="32" max="32" width="1.7109375" style="60" customWidth="1"/>
    <col min="33" max="33" width="14.28515625" style="60" customWidth="1"/>
    <col min="34" max="34" width="7.5703125" style="60" customWidth="1"/>
    <col min="35" max="35" width="8.85546875" style="60" customWidth="1"/>
    <col min="36" max="36" width="8.140625" style="60" customWidth="1"/>
    <col min="37" max="37" width="10.28515625" style="60" customWidth="1"/>
    <col min="38" max="38" width="6.140625" style="60" customWidth="1"/>
    <col min="39" max="39" width="7.5703125" style="60" customWidth="1"/>
    <col min="40" max="40" width="9.85546875" style="60" customWidth="1"/>
    <col min="41" max="41" width="9.42578125" style="60" customWidth="1"/>
    <col min="42" max="42" width="4.5703125" style="60" customWidth="1"/>
    <col min="43" max="43" width="1.7109375" style="60" customWidth="1"/>
    <col min="44" max="44" width="9.5703125" style="59" customWidth="1"/>
    <col min="45" max="45" width="11.42578125" style="60"/>
    <col min="46" max="46" width="3.7109375" style="60" customWidth="1"/>
    <col min="47" max="47" width="12.28515625" style="60" customWidth="1"/>
    <col min="48" max="48" width="11.42578125" style="60"/>
    <col min="49" max="49" width="13.140625" style="60" bestFit="1" customWidth="1"/>
    <col min="50" max="16384" width="11.42578125" style="60"/>
  </cols>
  <sheetData>
    <row r="1" spans="1:68" ht="21" customHeight="1" x14ac:dyDescent="0.2">
      <c r="A1" s="191"/>
      <c r="B1" s="61" t="s">
        <v>262</v>
      </c>
      <c r="C1" s="61"/>
      <c r="D1" s="61"/>
      <c r="E1" s="62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524"/>
      <c r="R1" s="63"/>
      <c r="S1" s="63"/>
      <c r="T1" s="63"/>
      <c r="U1" s="19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3"/>
      <c r="BI1" s="73"/>
      <c r="BJ1" s="73"/>
      <c r="BK1" s="73"/>
      <c r="BL1" s="73"/>
      <c r="BM1" s="73"/>
      <c r="BN1" s="73"/>
      <c r="BO1" s="73"/>
      <c r="BP1" s="1"/>
    </row>
    <row r="2" spans="1:68" ht="14.25" customHeight="1" x14ac:dyDescent="0.2">
      <c r="A2" s="191"/>
      <c r="B2" s="64"/>
      <c r="C2" s="64"/>
      <c r="D2" s="64"/>
      <c r="E2" s="309"/>
      <c r="F2" s="309"/>
      <c r="G2" s="309"/>
      <c r="H2" s="309"/>
      <c r="I2" s="309"/>
      <c r="J2" s="65"/>
      <c r="K2" s="66"/>
      <c r="L2" s="66"/>
      <c r="M2" s="66"/>
      <c r="N2" s="66"/>
      <c r="O2" s="66"/>
      <c r="P2" s="66"/>
      <c r="Q2" s="525"/>
      <c r="R2" s="66"/>
      <c r="S2" s="66"/>
      <c r="T2" s="66"/>
      <c r="U2" s="192"/>
      <c r="V2" s="65"/>
      <c r="W2" s="67"/>
      <c r="X2" s="67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3"/>
      <c r="BI2" s="73"/>
      <c r="BJ2" s="73"/>
      <c r="BK2" s="73"/>
      <c r="BL2" s="73"/>
      <c r="BM2" s="73"/>
      <c r="BN2" s="73"/>
      <c r="BO2" s="73"/>
      <c r="BP2" s="1"/>
    </row>
    <row r="3" spans="1:68" ht="14.1" customHeight="1" x14ac:dyDescent="0.2">
      <c r="A3" s="191"/>
      <c r="B3" s="74" t="s">
        <v>70</v>
      </c>
      <c r="C3" s="74"/>
      <c r="D3" s="74"/>
      <c r="E3" s="75"/>
      <c r="F3" s="72"/>
      <c r="G3" s="102"/>
      <c r="H3" s="74" t="s">
        <v>133</v>
      </c>
      <c r="I3" s="86"/>
      <c r="J3" s="72"/>
      <c r="K3" s="72"/>
      <c r="L3" s="74" t="s">
        <v>261</v>
      </c>
      <c r="M3" s="86"/>
      <c r="N3" s="86"/>
      <c r="O3" s="86"/>
      <c r="P3" s="86"/>
      <c r="Q3" s="107"/>
      <c r="R3" s="86"/>
      <c r="S3" s="86"/>
      <c r="T3" s="86"/>
      <c r="U3" s="193"/>
      <c r="V3" s="72"/>
      <c r="W3" s="38"/>
      <c r="X3" s="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3"/>
      <c r="BI3" s="73"/>
      <c r="BJ3" s="73"/>
      <c r="BK3" s="73"/>
      <c r="BL3" s="73"/>
      <c r="BM3" s="73"/>
      <c r="BN3" s="73"/>
      <c r="BO3" s="73"/>
      <c r="BP3" s="1"/>
    </row>
    <row r="4" spans="1:68" ht="14.1" customHeight="1" x14ac:dyDescent="0.2">
      <c r="A4" s="191"/>
      <c r="B4" s="83" t="s">
        <v>32</v>
      </c>
      <c r="C4" s="83"/>
      <c r="D4" s="83"/>
      <c r="E4" s="203">
        <v>-4.5</v>
      </c>
      <c r="F4" s="83" t="s">
        <v>37</v>
      </c>
      <c r="G4" s="105"/>
      <c r="H4" s="521" t="s">
        <v>32</v>
      </c>
      <c r="I4" s="86"/>
      <c r="J4" s="85">
        <f>E4/(1-E7/1000*E4)</f>
        <v>-4.2333019755409218</v>
      </c>
      <c r="K4" s="86" t="s">
        <v>37</v>
      </c>
      <c r="L4" s="86" t="s">
        <v>257</v>
      </c>
      <c r="M4" s="86"/>
      <c r="N4" s="523">
        <f>IF(E5*-1&gt;0.5,O10,O13)</f>
        <v>-4.25</v>
      </c>
      <c r="O4" s="523">
        <f>IF(E5*-1&gt;0.5,O12,"dpt")</f>
        <v>-2.25</v>
      </c>
      <c r="P4" s="107" t="str">
        <f>IF(O4="dpt","","A")</f>
        <v>A</v>
      </c>
      <c r="Q4" s="86">
        <f>IF(O4="dpt","",E6)</f>
        <v>5</v>
      </c>
      <c r="R4" s="86" t="str">
        <f>IF(O4="dpt","","°")</f>
        <v>°</v>
      </c>
      <c r="S4" s="83"/>
      <c r="T4" s="88"/>
      <c r="U4" s="194"/>
      <c r="V4" s="82"/>
      <c r="W4" s="15"/>
      <c r="X4" s="80"/>
      <c r="Y4" s="81"/>
      <c r="Z4" s="80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3"/>
      <c r="BI4" s="73"/>
      <c r="BJ4" s="73"/>
      <c r="BK4" s="73"/>
      <c r="BL4" s="73"/>
      <c r="BM4" s="73"/>
      <c r="BN4" s="73"/>
      <c r="BO4" s="73"/>
      <c r="BP4" s="1"/>
    </row>
    <row r="5" spans="1:68" ht="14.1" customHeight="1" x14ac:dyDescent="0.2">
      <c r="A5" s="191"/>
      <c r="B5" s="83" t="s">
        <v>69</v>
      </c>
      <c r="C5" s="83"/>
      <c r="D5" s="83"/>
      <c r="E5" s="204">
        <v>-2.5</v>
      </c>
      <c r="F5" s="83" t="s">
        <v>37</v>
      </c>
      <c r="G5" s="105"/>
      <c r="H5" s="521" t="s">
        <v>134</v>
      </c>
      <c r="I5" s="86"/>
      <c r="J5" s="85">
        <f>(E4+E5)/(1-E7/1000*(E4+E5))-J4</f>
        <v>-2.1419257111621741</v>
      </c>
      <c r="K5" s="86" t="s">
        <v>37</v>
      </c>
      <c r="L5" s="86"/>
      <c r="M5" s="86"/>
      <c r="N5" s="86"/>
      <c r="O5" s="86"/>
      <c r="P5" s="86"/>
      <c r="Q5" s="107"/>
      <c r="R5" s="86"/>
      <c r="S5" s="86"/>
      <c r="T5" s="88"/>
      <c r="U5" s="195"/>
      <c r="V5" s="67"/>
      <c r="W5" s="38"/>
      <c r="X5" s="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9"/>
      <c r="BI5" s="67"/>
      <c r="BJ5" s="67"/>
      <c r="BK5" s="67"/>
      <c r="BL5" s="67"/>
      <c r="BM5" s="67"/>
      <c r="BN5" s="67"/>
      <c r="BO5" s="67"/>
    </row>
    <row r="6" spans="1:68" ht="14.1" customHeight="1" x14ac:dyDescent="0.2">
      <c r="A6" s="191"/>
      <c r="B6" s="96" t="s">
        <v>6</v>
      </c>
      <c r="C6" s="96"/>
      <c r="D6" s="96"/>
      <c r="E6" s="205">
        <v>5</v>
      </c>
      <c r="F6" s="83" t="s">
        <v>4</v>
      </c>
      <c r="G6" s="73"/>
      <c r="H6" s="522" t="s">
        <v>6</v>
      </c>
      <c r="I6" s="86"/>
      <c r="J6" s="87">
        <f>E6</f>
        <v>5</v>
      </c>
      <c r="K6" s="86" t="s">
        <v>4</v>
      </c>
      <c r="L6" s="86" t="s">
        <v>258</v>
      </c>
      <c r="M6" s="86"/>
      <c r="N6" s="523">
        <f>O10</f>
        <v>-4.25</v>
      </c>
      <c r="O6" s="86" t="s">
        <v>260</v>
      </c>
      <c r="P6" s="86"/>
      <c r="Q6" s="107"/>
      <c r="R6" s="86"/>
      <c r="S6" s="86"/>
      <c r="T6" s="82"/>
      <c r="U6" s="194"/>
      <c r="V6" s="82"/>
      <c r="W6" s="38"/>
      <c r="X6" s="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67"/>
      <c r="BI6" s="67"/>
      <c r="BJ6" s="67"/>
      <c r="BK6" s="67"/>
      <c r="BL6" s="67"/>
      <c r="BM6" s="67"/>
      <c r="BN6" s="67"/>
      <c r="BO6" s="67"/>
    </row>
    <row r="7" spans="1:68" ht="14.1" customHeight="1" x14ac:dyDescent="0.2">
      <c r="A7" s="191"/>
      <c r="B7" s="96" t="s">
        <v>40</v>
      </c>
      <c r="C7" s="96"/>
      <c r="D7" s="96"/>
      <c r="E7" s="206">
        <v>14</v>
      </c>
      <c r="F7" s="83" t="s">
        <v>1</v>
      </c>
      <c r="G7" s="73"/>
      <c r="H7" s="522" t="s">
        <v>40</v>
      </c>
      <c r="I7" s="86"/>
      <c r="J7" s="87">
        <v>0</v>
      </c>
      <c r="K7" s="86" t="s">
        <v>1</v>
      </c>
      <c r="L7" s="86"/>
      <c r="M7" s="86"/>
      <c r="N7" s="86"/>
      <c r="O7" s="86"/>
      <c r="P7" s="86"/>
      <c r="Q7" s="107"/>
      <c r="R7" s="86"/>
      <c r="S7" s="86"/>
      <c r="T7" s="86"/>
      <c r="U7" s="195"/>
      <c r="V7" s="67"/>
      <c r="W7" s="67"/>
      <c r="X7" s="67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67"/>
      <c r="BI7" s="67"/>
      <c r="BJ7" s="67"/>
      <c r="BK7" s="67"/>
      <c r="BL7" s="93"/>
      <c r="BM7" s="99"/>
      <c r="BN7" s="100"/>
      <c r="BO7" s="67"/>
    </row>
    <row r="8" spans="1:68" ht="15" customHeight="1" x14ac:dyDescent="0.2">
      <c r="A8" s="191"/>
      <c r="B8" s="101"/>
      <c r="C8" s="101"/>
      <c r="D8" s="101"/>
      <c r="E8" s="69"/>
      <c r="F8" s="83"/>
      <c r="G8" s="117"/>
      <c r="H8" s="86"/>
      <c r="I8" s="86"/>
      <c r="J8" s="86"/>
      <c r="K8" s="87"/>
      <c r="L8" s="87"/>
      <c r="M8" s="87"/>
      <c r="N8" s="87"/>
      <c r="O8" s="87"/>
      <c r="P8" s="87"/>
      <c r="Q8" s="106"/>
      <c r="R8" s="87"/>
      <c r="S8" s="87"/>
      <c r="T8" s="86"/>
      <c r="U8" s="195"/>
      <c r="V8" s="67"/>
      <c r="W8" s="67"/>
      <c r="X8" s="67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67"/>
      <c r="BI8" s="67"/>
      <c r="BJ8" s="67"/>
      <c r="BK8" s="67"/>
      <c r="BL8" s="93"/>
      <c r="BM8" s="99"/>
      <c r="BN8" s="100"/>
      <c r="BO8" s="67"/>
    </row>
    <row r="9" spans="1:68" ht="14.1" customHeight="1" x14ac:dyDescent="0.2">
      <c r="A9" s="191"/>
      <c r="B9" s="38"/>
      <c r="C9" s="38"/>
      <c r="D9" s="38"/>
      <c r="E9" s="38"/>
      <c r="F9" s="38"/>
      <c r="G9" s="105"/>
      <c r="H9" s="313"/>
      <c r="I9" s="87"/>
      <c r="J9" s="87"/>
      <c r="K9" s="87"/>
      <c r="L9" s="87"/>
      <c r="M9" s="87"/>
      <c r="N9" s="87"/>
      <c r="O9" s="87"/>
      <c r="P9" s="87"/>
      <c r="Q9" s="106"/>
      <c r="R9" s="87"/>
      <c r="S9" s="87"/>
      <c r="T9" s="86"/>
      <c r="U9" s="195"/>
      <c r="V9" s="67"/>
      <c r="W9" s="38"/>
      <c r="X9" s="38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67"/>
      <c r="BI9" s="67"/>
      <c r="BJ9" s="67"/>
      <c r="BK9" s="67"/>
      <c r="BL9" s="93"/>
      <c r="BM9" s="99"/>
      <c r="BN9" s="100"/>
      <c r="BO9" s="67"/>
    </row>
    <row r="10" spans="1:68" ht="14.1" customHeight="1" x14ac:dyDescent="0.2">
      <c r="A10" s="191"/>
      <c r="B10" s="528" t="s">
        <v>253</v>
      </c>
      <c r="C10" s="529">
        <f>E6</f>
        <v>5</v>
      </c>
      <c r="D10" s="530" t="s">
        <v>254</v>
      </c>
      <c r="E10" s="531">
        <f>E4</f>
        <v>-4.5</v>
      </c>
      <c r="F10" s="530" t="s">
        <v>37</v>
      </c>
      <c r="G10" s="529"/>
      <c r="H10" s="532" t="s">
        <v>252</v>
      </c>
      <c r="I10" s="529">
        <f>J6</f>
        <v>5</v>
      </c>
      <c r="J10" s="542" t="s">
        <v>254</v>
      </c>
      <c r="K10" s="531">
        <f>J4</f>
        <v>-4.2333019755409218</v>
      </c>
      <c r="L10" s="530" t="s">
        <v>37</v>
      </c>
      <c r="M10" s="530"/>
      <c r="N10" s="533" t="s">
        <v>256</v>
      </c>
      <c r="O10" s="531">
        <f>IF(K10&lt;0,MROUND(K10*-1,0.25)*-1,MROUND(K10,0.25))</f>
        <v>-4.25</v>
      </c>
      <c r="P10" s="534" t="s">
        <v>37</v>
      </c>
      <c r="Q10" s="83"/>
      <c r="R10" s="83"/>
      <c r="S10" s="83"/>
      <c r="T10" s="86"/>
      <c r="U10" s="195"/>
      <c r="V10" s="67"/>
      <c r="W10" s="38"/>
      <c r="X10" s="38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67"/>
      <c r="BI10" s="67"/>
      <c r="BJ10" s="67"/>
      <c r="BK10" s="67"/>
      <c r="BL10" s="67"/>
      <c r="BM10" s="67"/>
      <c r="BN10" s="67"/>
      <c r="BO10" s="67"/>
    </row>
    <row r="11" spans="1:68" ht="14.1" customHeight="1" x14ac:dyDescent="0.2">
      <c r="A11" s="191" t="s">
        <v>2</v>
      </c>
      <c r="B11" s="535" t="s">
        <v>253</v>
      </c>
      <c r="C11" s="536">
        <f>IF(C10&gt;90,E6+90-180,E6+90)</f>
        <v>95</v>
      </c>
      <c r="D11" s="537" t="s">
        <v>254</v>
      </c>
      <c r="E11" s="538">
        <f>E4+E5</f>
        <v>-7</v>
      </c>
      <c r="F11" s="537" t="s">
        <v>37</v>
      </c>
      <c r="G11" s="536"/>
      <c r="H11" s="539" t="s">
        <v>252</v>
      </c>
      <c r="I11" s="536">
        <f>IF(I10&gt;90,J6+90-180,J6+90)</f>
        <v>95</v>
      </c>
      <c r="J11" s="543" t="s">
        <v>254</v>
      </c>
      <c r="K11" s="538">
        <f>J4+J5</f>
        <v>-6.3752276867030959</v>
      </c>
      <c r="L11" s="537" t="s">
        <v>37</v>
      </c>
      <c r="M11" s="537"/>
      <c r="N11" s="77" t="s">
        <v>256</v>
      </c>
      <c r="O11" s="540">
        <f>IF(K11&lt;0,MROUND(K11*-1,0.25)*-1,MROUND(K11,0.25))</f>
        <v>-6.5</v>
      </c>
      <c r="P11" s="541" t="s">
        <v>37</v>
      </c>
      <c r="Q11" s="83"/>
      <c r="R11" s="82"/>
      <c r="S11" s="82"/>
      <c r="T11" s="86"/>
      <c r="U11" s="195"/>
      <c r="V11" s="67"/>
      <c r="W11" s="38"/>
      <c r="X11" s="38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67"/>
      <c r="BI11" s="67"/>
      <c r="BJ11" s="67"/>
      <c r="BK11" s="67"/>
      <c r="BL11" s="67"/>
      <c r="BM11" s="79"/>
      <c r="BN11" s="67"/>
      <c r="BO11" s="67"/>
    </row>
    <row r="12" spans="1:68" ht="14.25" customHeight="1" x14ac:dyDescent="0.2">
      <c r="A12" s="191"/>
      <c r="B12" s="38"/>
      <c r="C12" s="38"/>
      <c r="D12" s="38"/>
      <c r="E12" s="38"/>
      <c r="F12" s="38"/>
      <c r="G12" s="73"/>
      <c r="H12" s="67" t="s">
        <v>255</v>
      </c>
      <c r="I12" s="127"/>
      <c r="J12" s="521" t="s">
        <v>263</v>
      </c>
      <c r="K12" s="69">
        <f>K11-K10</f>
        <v>-2.1419257111621741</v>
      </c>
      <c r="L12" s="83" t="s">
        <v>37</v>
      </c>
      <c r="M12" s="83"/>
      <c r="N12" s="67" t="s">
        <v>256</v>
      </c>
      <c r="O12" s="93">
        <f>MROUND(K10-K11,0.25)*-1</f>
        <v>-2.25</v>
      </c>
      <c r="P12" s="84" t="s">
        <v>37</v>
      </c>
      <c r="Q12" s="83"/>
      <c r="R12" s="83"/>
      <c r="S12" s="83"/>
      <c r="T12" s="86"/>
      <c r="U12" s="195"/>
      <c r="V12" s="67"/>
      <c r="W12" s="38"/>
      <c r="X12" s="38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67"/>
      <c r="BI12" s="67"/>
      <c r="BJ12" s="67"/>
      <c r="BK12" s="67"/>
      <c r="BL12" s="67"/>
      <c r="BM12" s="79"/>
      <c r="BN12" s="67"/>
      <c r="BO12" s="67"/>
    </row>
    <row r="13" spans="1:68" ht="15" customHeight="1" x14ac:dyDescent="0.2">
      <c r="A13" s="191"/>
      <c r="B13" s="38"/>
      <c r="C13" s="38"/>
      <c r="D13" s="38"/>
      <c r="E13" s="38"/>
      <c r="F13" s="38"/>
      <c r="G13" s="78"/>
      <c r="H13" s="236" t="s">
        <v>259</v>
      </c>
      <c r="I13" s="236"/>
      <c r="J13" s="550" t="s">
        <v>263</v>
      </c>
      <c r="K13" s="551">
        <f>(K10+K11)/2</f>
        <v>-5.3042648311220084</v>
      </c>
      <c r="L13" s="82" t="s">
        <v>37</v>
      </c>
      <c r="M13" s="82"/>
      <c r="N13" s="82" t="s">
        <v>256</v>
      </c>
      <c r="O13" s="88">
        <f>IF(K13&lt;0,MROUND(K13*-1,0.25)*-1,MROUND(K13,0.25))</f>
        <v>-5.25</v>
      </c>
      <c r="P13" s="98" t="s">
        <v>37</v>
      </c>
      <c r="Q13" s="83"/>
      <c r="R13" s="83"/>
      <c r="S13" s="83"/>
      <c r="T13" s="72"/>
      <c r="U13" s="195"/>
      <c r="V13" s="67"/>
      <c r="W13" s="38"/>
      <c r="X13" s="38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67"/>
      <c r="BI13" s="67"/>
      <c r="BJ13" s="67"/>
      <c r="BK13" s="67"/>
      <c r="BL13" s="67"/>
      <c r="BM13" s="67"/>
      <c r="BN13" s="67"/>
      <c r="BO13" s="67"/>
    </row>
    <row r="14" spans="1:68" ht="15" customHeight="1" x14ac:dyDescent="0.2">
      <c r="A14" s="191"/>
      <c r="B14" s="38"/>
      <c r="C14" s="38"/>
      <c r="D14" s="38"/>
      <c r="E14" s="38"/>
      <c r="F14" s="38"/>
      <c r="G14" s="89"/>
      <c r="H14" s="28"/>
      <c r="I14" s="90"/>
      <c r="J14" s="90"/>
      <c r="K14" s="90"/>
      <c r="L14" s="90"/>
      <c r="M14" s="90"/>
      <c r="N14" s="90"/>
      <c r="O14" s="90"/>
      <c r="P14" s="90"/>
      <c r="Q14" s="526"/>
      <c r="R14" s="90"/>
      <c r="S14" s="90"/>
      <c r="T14" s="90"/>
      <c r="U14" s="195"/>
      <c r="V14" s="67"/>
      <c r="W14" s="38"/>
      <c r="X14" s="38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67"/>
      <c r="BI14" s="67"/>
      <c r="BJ14" s="67"/>
      <c r="BK14" s="67"/>
      <c r="BL14" s="67"/>
      <c r="BM14" s="73"/>
      <c r="BN14" s="93"/>
      <c r="BO14" s="67"/>
    </row>
    <row r="15" spans="1:68" ht="15" customHeight="1" x14ac:dyDescent="0.2">
      <c r="A15" s="191"/>
      <c r="B15" s="86"/>
      <c r="C15" s="86"/>
      <c r="D15" s="86"/>
      <c r="E15" s="86"/>
      <c r="F15" s="86"/>
      <c r="G15" s="86"/>
      <c r="H15" s="28"/>
      <c r="I15" s="86"/>
      <c r="J15" s="86"/>
      <c r="K15" s="86"/>
      <c r="L15" s="86"/>
      <c r="M15" s="86"/>
      <c r="N15" s="86"/>
      <c r="O15" s="86"/>
      <c r="P15" s="86"/>
      <c r="Q15" s="107"/>
      <c r="R15" s="86"/>
      <c r="S15" s="86"/>
      <c r="T15" s="86"/>
      <c r="U15" s="195"/>
      <c r="V15" s="67"/>
      <c r="W15" s="67"/>
      <c r="X15" s="67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67"/>
      <c r="BI15" s="67"/>
      <c r="BJ15" s="67"/>
      <c r="BK15" s="137"/>
      <c r="BL15" s="67"/>
      <c r="BM15" s="73"/>
      <c r="BN15" s="93"/>
      <c r="BO15" s="67"/>
    </row>
    <row r="16" spans="1:68" ht="15" customHeight="1" x14ac:dyDescent="0.2">
      <c r="A16" s="191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7"/>
      <c r="R16" s="191"/>
      <c r="S16" s="191"/>
      <c r="T16" s="191"/>
      <c r="U16" s="191"/>
      <c r="V16" s="67"/>
      <c r="W16" s="67"/>
      <c r="X16" s="67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67"/>
      <c r="BI16" s="67"/>
      <c r="BJ16" s="67"/>
      <c r="BK16" s="67"/>
      <c r="BL16" s="73"/>
      <c r="BM16" s="67"/>
      <c r="BN16" s="67"/>
      <c r="BO16" s="67"/>
    </row>
    <row r="17" spans="1:67" ht="15" customHeight="1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7"/>
      <c r="R17" s="38"/>
      <c r="S17" s="38"/>
      <c r="T17" s="38"/>
      <c r="U17" s="103"/>
      <c r="V17" s="103"/>
      <c r="W17" s="103"/>
      <c r="X17" s="103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67"/>
      <c r="BI17" s="67"/>
      <c r="BJ17" s="67"/>
      <c r="BK17" s="145"/>
      <c r="BL17" s="73"/>
      <c r="BM17" s="67"/>
      <c r="BN17" s="67"/>
      <c r="BO17" s="67"/>
    </row>
    <row r="18" spans="1:67" ht="15" customHeight="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7"/>
      <c r="R18" s="38"/>
      <c r="S18" s="38"/>
      <c r="T18" s="38"/>
      <c r="U18" s="67"/>
      <c r="V18" s="67"/>
      <c r="W18" s="67"/>
      <c r="X18" s="67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67"/>
      <c r="BI18" s="67"/>
      <c r="BJ18" s="67"/>
      <c r="BK18" s="67"/>
      <c r="BL18" s="67"/>
      <c r="BM18" s="67"/>
      <c r="BN18" s="67"/>
      <c r="BO18" s="67"/>
    </row>
    <row r="19" spans="1:67" ht="15" customHeight="1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7"/>
      <c r="R19" s="38"/>
      <c r="S19" s="38"/>
      <c r="T19" s="38"/>
      <c r="U19" s="107"/>
      <c r="V19" s="107"/>
      <c r="W19" s="107"/>
      <c r="X19" s="107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67"/>
      <c r="BI19" s="67"/>
      <c r="BJ19" s="67"/>
      <c r="BK19" s="145"/>
      <c r="BL19" s="38"/>
      <c r="BM19" s="73"/>
      <c r="BN19" s="108"/>
      <c r="BO19" s="67"/>
    </row>
    <row r="20" spans="1:67" ht="15" customHeight="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7"/>
      <c r="R20" s="38"/>
      <c r="S20" s="38"/>
      <c r="T20" s="38"/>
      <c r="U20" s="67"/>
      <c r="V20" s="67"/>
      <c r="W20" s="67"/>
      <c r="X20" s="67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67"/>
      <c r="BI20" s="67"/>
      <c r="BJ20" s="67"/>
      <c r="BK20" s="67"/>
      <c r="BL20" s="67"/>
      <c r="BM20" s="73"/>
      <c r="BN20" s="108"/>
      <c r="BO20" s="67"/>
    </row>
    <row r="21" spans="1:67" ht="15" customHeigh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7"/>
      <c r="R21" s="38"/>
      <c r="S21" s="38"/>
      <c r="T21" s="38"/>
      <c r="U21" s="67"/>
      <c r="V21" s="67"/>
      <c r="W21" s="67"/>
      <c r="X21" s="67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67"/>
      <c r="BI21" s="67"/>
      <c r="BJ21" s="67"/>
      <c r="BK21" s="67"/>
      <c r="BL21" s="145"/>
      <c r="BM21" s="73"/>
      <c r="BN21" s="93"/>
      <c r="BO21" s="67"/>
    </row>
    <row r="22" spans="1:67" ht="15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7"/>
      <c r="R22" s="38"/>
      <c r="S22" s="38"/>
      <c r="T22" s="38"/>
      <c r="U22" s="38"/>
      <c r="V22" s="38"/>
      <c r="W22" s="38"/>
      <c r="X22" s="38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67"/>
      <c r="BI22" s="67"/>
      <c r="BJ22" s="67"/>
      <c r="BK22" s="67"/>
      <c r="BL22" s="67"/>
      <c r="BM22" s="73"/>
      <c r="BN22" s="93"/>
      <c r="BO22" s="67"/>
    </row>
    <row r="23" spans="1:67" ht="15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7"/>
      <c r="R23" s="38"/>
      <c r="S23" s="38"/>
      <c r="T23" s="38"/>
      <c r="U23" s="38"/>
      <c r="V23" s="38"/>
      <c r="W23" s="38"/>
      <c r="X23" s="38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67"/>
      <c r="BI23" s="67"/>
      <c r="BJ23" s="67"/>
      <c r="BK23" s="67"/>
      <c r="BL23" s="67"/>
      <c r="BM23" s="73"/>
      <c r="BN23" s="93"/>
      <c r="BO23" s="67"/>
    </row>
    <row r="24" spans="1:67" ht="15" customHeight="1" x14ac:dyDescent="0.2">
      <c r="A24" s="38"/>
      <c r="B24" s="69"/>
      <c r="C24" s="69"/>
      <c r="D24" s="69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7"/>
      <c r="R24" s="38"/>
      <c r="S24" s="38"/>
      <c r="T24" s="38"/>
      <c r="U24" s="38"/>
      <c r="V24" s="38"/>
      <c r="W24" s="38"/>
      <c r="X24" s="38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67"/>
      <c r="BI24" s="67"/>
      <c r="BJ24" s="67"/>
      <c r="BK24" s="67"/>
      <c r="BL24" s="67"/>
      <c r="BM24" s="73"/>
      <c r="BN24" s="93"/>
      <c r="BO24" s="67"/>
    </row>
    <row r="25" spans="1:67" ht="15" customHeight="1" x14ac:dyDescent="0.2">
      <c r="A25" s="38"/>
      <c r="B25" s="69"/>
      <c r="C25" s="69"/>
      <c r="D25" s="69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7"/>
      <c r="R25" s="38"/>
      <c r="S25" s="38"/>
      <c r="T25" s="38"/>
      <c r="U25" s="38"/>
      <c r="V25" s="38"/>
      <c r="W25" s="38"/>
      <c r="X25" s="38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67"/>
      <c r="BI25" s="67"/>
      <c r="BJ25" s="67"/>
      <c r="BK25" s="67"/>
      <c r="BL25" s="67"/>
      <c r="BM25" s="67"/>
      <c r="BN25" s="67"/>
      <c r="BO25" s="67"/>
    </row>
    <row r="26" spans="1:67" ht="15" customHeight="1" x14ac:dyDescent="0.2">
      <c r="A26" s="38"/>
      <c r="B26" s="69"/>
      <c r="C26" s="69"/>
      <c r="D26" s="69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7"/>
      <c r="R26" s="38"/>
      <c r="S26" s="38"/>
      <c r="T26" s="38"/>
      <c r="U26" s="38"/>
      <c r="V26" s="38"/>
      <c r="W26" s="38"/>
      <c r="X26" s="38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67"/>
      <c r="BI26" s="67"/>
      <c r="BJ26" s="67"/>
      <c r="BK26" s="67"/>
      <c r="BL26" s="67"/>
      <c r="BM26" s="67"/>
      <c r="BN26" s="67"/>
      <c r="BO26" s="67"/>
    </row>
    <row r="27" spans="1:67" x14ac:dyDescent="0.2">
      <c r="A27" s="38"/>
      <c r="B27" s="69"/>
      <c r="C27" s="69"/>
      <c r="D27" s="69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7"/>
      <c r="R27" s="38"/>
      <c r="S27" s="38"/>
      <c r="T27" s="38"/>
      <c r="U27" s="38"/>
      <c r="V27" s="38"/>
      <c r="W27" s="38"/>
      <c r="X27" s="38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67"/>
      <c r="BI27" s="67"/>
      <c r="BJ27" s="67"/>
      <c r="BK27" s="67"/>
      <c r="BL27" s="67"/>
      <c r="BM27" s="67"/>
      <c r="BN27" s="67"/>
      <c r="BO27" s="67"/>
    </row>
    <row r="28" spans="1:67" ht="16.5" customHeight="1" x14ac:dyDescent="0.2">
      <c r="A28" s="38"/>
      <c r="B28" s="69"/>
      <c r="C28" s="69"/>
      <c r="D28" s="69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7"/>
      <c r="R28" s="38"/>
      <c r="S28" s="38"/>
      <c r="T28" s="38"/>
      <c r="U28" s="38"/>
      <c r="V28" s="38"/>
      <c r="W28" s="38"/>
      <c r="X28" s="38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67"/>
      <c r="BI28" s="180"/>
      <c r="BJ28" s="181"/>
      <c r="BK28" s="67"/>
      <c r="BL28" s="89"/>
      <c r="BM28" s="67"/>
      <c r="BN28" s="67"/>
      <c r="BO28" s="67"/>
    </row>
    <row r="29" spans="1:67" ht="15" customHeight="1" x14ac:dyDescent="0.2">
      <c r="A29" s="38"/>
      <c r="B29" s="69"/>
      <c r="C29" s="69"/>
      <c r="D29" s="69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7"/>
      <c r="R29" s="38"/>
      <c r="S29" s="38"/>
      <c r="T29" s="38"/>
      <c r="U29" s="38"/>
      <c r="V29" s="38"/>
      <c r="W29" s="38"/>
      <c r="X29" s="38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67"/>
      <c r="BI29" s="89"/>
      <c r="BJ29" s="67"/>
      <c r="BK29" s="67"/>
      <c r="BL29" s="67"/>
      <c r="BM29" s="67"/>
      <c r="BN29" s="67"/>
      <c r="BO29" s="67"/>
    </row>
    <row r="30" spans="1:67" ht="13.5" customHeight="1" x14ac:dyDescent="0.2">
      <c r="A30" s="38"/>
      <c r="B30" s="69"/>
      <c r="C30" s="69"/>
      <c r="D30" s="69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7"/>
      <c r="R30" s="38"/>
      <c r="S30" s="38"/>
      <c r="T30" s="38"/>
      <c r="U30" s="38"/>
      <c r="V30" s="38"/>
      <c r="W30" s="38"/>
      <c r="X30" s="38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67"/>
      <c r="BI30" s="89"/>
      <c r="BJ30" s="67"/>
      <c r="BK30" s="67"/>
      <c r="BL30" s="67"/>
      <c r="BM30" s="67"/>
      <c r="BN30" s="67"/>
      <c r="BO30" s="67"/>
    </row>
    <row r="31" spans="1:67" x14ac:dyDescent="0.2">
      <c r="A31" s="38"/>
      <c r="B31" s="69"/>
      <c r="C31" s="69"/>
      <c r="D31" s="69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7"/>
      <c r="R31" s="38"/>
      <c r="S31" s="38"/>
      <c r="T31" s="38"/>
      <c r="U31" s="38"/>
      <c r="V31" s="38"/>
      <c r="W31" s="38"/>
      <c r="X31" s="38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67"/>
      <c r="BI31" s="89"/>
      <c r="BJ31" s="67"/>
      <c r="BK31" s="67"/>
      <c r="BL31" s="89"/>
      <c r="BM31" s="67"/>
      <c r="BN31" s="67"/>
      <c r="BO31" s="67"/>
    </row>
    <row r="32" spans="1:67" ht="12" customHeight="1" x14ac:dyDescent="0.2">
      <c r="A32" s="38"/>
      <c r="B32" s="69"/>
      <c r="C32" s="69"/>
      <c r="D32" s="69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7"/>
      <c r="R32" s="38"/>
      <c r="S32" s="38"/>
      <c r="T32" s="38"/>
      <c r="U32" s="38"/>
      <c r="V32" s="38"/>
      <c r="W32" s="38"/>
      <c r="X32" s="38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67"/>
      <c r="BI32" s="89"/>
      <c r="BJ32" s="67"/>
      <c r="BK32" s="67"/>
      <c r="BL32" s="67"/>
      <c r="BM32" s="67"/>
      <c r="BN32" s="67"/>
      <c r="BO32" s="67"/>
    </row>
    <row r="33" spans="1:67" x14ac:dyDescent="0.2">
      <c r="A33" s="38"/>
      <c r="B33" s="69"/>
      <c r="C33" s="69"/>
      <c r="D33" s="69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7"/>
      <c r="R33" s="38"/>
      <c r="S33" s="38"/>
      <c r="T33" s="38"/>
      <c r="U33" s="38"/>
      <c r="V33" s="38"/>
      <c r="W33" s="38"/>
      <c r="X33" s="38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67"/>
      <c r="BI33" s="180"/>
      <c r="BJ33" s="67"/>
      <c r="BK33" s="67"/>
      <c r="BL33" s="67"/>
      <c r="BM33" s="67"/>
      <c r="BN33" s="67"/>
      <c r="BO33" s="67"/>
    </row>
    <row r="34" spans="1:67" x14ac:dyDescent="0.2">
      <c r="A34" s="38"/>
      <c r="B34" s="69"/>
      <c r="C34" s="69"/>
      <c r="D34" s="69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7"/>
      <c r="R34" s="38"/>
      <c r="S34" s="38"/>
      <c r="T34" s="38"/>
      <c r="U34" s="38"/>
      <c r="V34" s="38"/>
      <c r="W34" s="38"/>
      <c r="X34" s="38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67"/>
      <c r="BI34" s="89"/>
      <c r="BJ34" s="67"/>
      <c r="BK34" s="67"/>
      <c r="BL34" s="67"/>
      <c r="BM34" s="108"/>
      <c r="BN34" s="148"/>
      <c r="BO34" s="67"/>
    </row>
    <row r="35" spans="1:67" x14ac:dyDescent="0.2">
      <c r="A35" s="38"/>
      <c r="B35" s="69"/>
      <c r="C35" s="69"/>
      <c r="D35" s="69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7"/>
      <c r="R35" s="38"/>
      <c r="S35" s="38"/>
      <c r="T35" s="38"/>
      <c r="U35" s="38"/>
      <c r="V35" s="38"/>
      <c r="W35" s="38"/>
      <c r="X35" s="38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67"/>
      <c r="BI35" s="89"/>
      <c r="BJ35" s="67"/>
      <c r="BK35" s="67"/>
      <c r="BL35" s="67"/>
      <c r="BM35" s="73"/>
      <c r="BN35" s="67"/>
      <c r="BO35" s="67"/>
    </row>
    <row r="36" spans="1:67" x14ac:dyDescent="0.2">
      <c r="A36" s="38"/>
      <c r="B36" s="69"/>
      <c r="C36" s="69"/>
      <c r="D36" s="69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7"/>
      <c r="R36" s="38"/>
      <c r="S36" s="38"/>
      <c r="T36" s="38"/>
      <c r="U36" s="38"/>
      <c r="V36" s="38"/>
      <c r="W36" s="38"/>
      <c r="X36" s="38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67"/>
      <c r="BI36" s="89"/>
      <c r="BJ36" s="67"/>
      <c r="BK36" s="67"/>
      <c r="BL36" s="67"/>
      <c r="BM36" s="73"/>
      <c r="BN36" s="67"/>
      <c r="BO36" s="67"/>
    </row>
    <row r="37" spans="1:67" ht="9" customHeight="1" x14ac:dyDescent="0.2">
      <c r="A37" s="38"/>
      <c r="B37" s="69"/>
      <c r="C37" s="69"/>
      <c r="D37" s="69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7"/>
      <c r="R37" s="38"/>
      <c r="S37" s="38"/>
      <c r="T37" s="38"/>
      <c r="U37" s="38"/>
      <c r="V37" s="38"/>
      <c r="W37" s="38"/>
      <c r="X37" s="38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67"/>
      <c r="BI37" s="89"/>
      <c r="BJ37" s="67"/>
      <c r="BK37" s="67"/>
      <c r="BL37" s="67"/>
      <c r="BM37" s="73"/>
      <c r="BN37" s="67"/>
      <c r="BO37" s="67"/>
    </row>
    <row r="38" spans="1:67" x14ac:dyDescent="0.2">
      <c r="A38" s="38"/>
      <c r="B38" s="69"/>
      <c r="C38" s="69"/>
      <c r="D38" s="69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7"/>
      <c r="R38" s="38"/>
      <c r="S38" s="38"/>
      <c r="T38" s="38"/>
      <c r="U38" s="38"/>
      <c r="V38" s="38"/>
      <c r="W38" s="38"/>
      <c r="X38" s="38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67"/>
      <c r="BI38" s="89"/>
      <c r="BJ38" s="67"/>
      <c r="BK38" s="100"/>
      <c r="BL38" s="89"/>
      <c r="BM38" s="73"/>
      <c r="BN38" s="93"/>
      <c r="BO38" s="67"/>
    </row>
    <row r="39" spans="1:67" x14ac:dyDescent="0.2">
      <c r="A39" s="38"/>
      <c r="B39" s="69"/>
      <c r="C39" s="69"/>
      <c r="D39" s="69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7"/>
      <c r="R39" s="38"/>
      <c r="S39" s="38"/>
      <c r="T39" s="38"/>
      <c r="U39" s="38"/>
      <c r="V39" s="38"/>
      <c r="W39" s="38"/>
      <c r="X39" s="38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67"/>
      <c r="BI39" s="67"/>
      <c r="BJ39" s="67"/>
      <c r="BK39" s="100"/>
      <c r="BL39" s="89"/>
      <c r="BM39" s="73"/>
      <c r="BN39" s="93"/>
      <c r="BO39" s="67"/>
    </row>
    <row r="40" spans="1:67" ht="14.25" customHeight="1" x14ac:dyDescent="0.2">
      <c r="A40" s="38"/>
      <c r="B40" s="69"/>
      <c r="C40" s="69"/>
      <c r="D40" s="69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"/>
      <c r="R40" s="38"/>
      <c r="S40" s="38"/>
      <c r="T40" s="38"/>
      <c r="U40" s="38"/>
      <c r="V40" s="38"/>
      <c r="W40" s="38"/>
      <c r="X40" s="38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67"/>
      <c r="BI40" s="67"/>
      <c r="BJ40" s="67"/>
      <c r="BK40" s="67"/>
      <c r="BL40" s="67"/>
      <c r="BM40" s="67"/>
      <c r="BN40" s="67"/>
      <c r="BO40" s="67"/>
    </row>
    <row r="41" spans="1:67" x14ac:dyDescent="0.2">
      <c r="A41" s="38"/>
      <c r="B41" s="69"/>
      <c r="C41" s="69"/>
      <c r="D41" s="69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7"/>
      <c r="R41" s="38"/>
      <c r="S41" s="38"/>
      <c r="T41" s="38"/>
      <c r="U41" s="38"/>
      <c r="V41" s="38"/>
      <c r="W41" s="38"/>
      <c r="X41" s="38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67"/>
      <c r="BI41" s="67"/>
      <c r="BJ41" s="93"/>
      <c r="BK41" s="67"/>
      <c r="BL41" s="67"/>
      <c r="BM41" s="67"/>
      <c r="BN41" s="67"/>
      <c r="BO41" s="67"/>
    </row>
    <row r="42" spans="1:67" x14ac:dyDescent="0.2">
      <c r="A42" s="38"/>
      <c r="B42" s="69"/>
      <c r="C42" s="69"/>
      <c r="D42" s="6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7"/>
      <c r="R42" s="38"/>
      <c r="S42" s="38"/>
      <c r="T42" s="38"/>
      <c r="U42" s="38"/>
      <c r="V42" s="38"/>
      <c r="W42" s="38"/>
      <c r="X42" s="38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67"/>
      <c r="BI42" s="67"/>
      <c r="BJ42" s="67"/>
      <c r="BK42" s="67"/>
      <c r="BL42" s="67"/>
      <c r="BM42" s="67"/>
      <c r="BN42" s="67"/>
      <c r="BO42" s="67"/>
    </row>
    <row r="43" spans="1:67" x14ac:dyDescent="0.2">
      <c r="A43" s="38"/>
      <c r="B43" s="69"/>
      <c r="C43" s="69"/>
      <c r="D43" s="69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7"/>
      <c r="R43" s="38"/>
      <c r="S43" s="38"/>
      <c r="T43" s="38"/>
      <c r="U43" s="38"/>
      <c r="V43" s="38"/>
      <c r="W43" s="38"/>
      <c r="X43" s="38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67"/>
      <c r="BI43" s="67"/>
      <c r="BJ43" s="38"/>
      <c r="BK43" s="38"/>
      <c r="BL43" s="108"/>
      <c r="BM43" s="93"/>
      <c r="BN43" s="38"/>
      <c r="BO43" s="38"/>
    </row>
    <row r="44" spans="1:67" x14ac:dyDescent="0.2">
      <c r="A44" s="38"/>
      <c r="B44" s="69"/>
      <c r="C44" s="69"/>
      <c r="D44" s="69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7"/>
      <c r="R44" s="38"/>
      <c r="S44" s="38"/>
      <c r="T44" s="38"/>
      <c r="U44" s="38"/>
      <c r="V44" s="38"/>
      <c r="W44" s="38"/>
      <c r="X44" s="38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67"/>
      <c r="BI44" s="67"/>
      <c r="BJ44" s="67"/>
      <c r="BK44" s="67"/>
      <c r="BL44" s="67"/>
      <c r="BM44" s="67"/>
      <c r="BN44" s="67"/>
      <c r="BO44" s="67"/>
    </row>
    <row r="45" spans="1:67" x14ac:dyDescent="0.2">
      <c r="A45" s="38"/>
      <c r="B45" s="69"/>
      <c r="C45" s="69"/>
      <c r="D45" s="69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7"/>
      <c r="R45" s="38"/>
      <c r="S45" s="38"/>
      <c r="T45" s="38"/>
      <c r="U45" s="38"/>
      <c r="V45" s="38"/>
      <c r="W45" s="38"/>
      <c r="X45" s="38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67"/>
      <c r="BI45" s="67"/>
      <c r="BJ45" s="67"/>
      <c r="BK45" s="67"/>
      <c r="BL45" s="67"/>
      <c r="BM45" s="38"/>
      <c r="BN45" s="67"/>
      <c r="BO45" s="67"/>
    </row>
    <row r="46" spans="1:67" x14ac:dyDescent="0.2">
      <c r="A46" s="38"/>
      <c r="B46" s="69"/>
      <c r="C46" s="69"/>
      <c r="D46" s="69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7"/>
      <c r="R46" s="38"/>
      <c r="S46" s="38"/>
      <c r="T46" s="38"/>
      <c r="U46" s="38"/>
      <c r="V46" s="38"/>
      <c r="W46" s="38"/>
      <c r="X46" s="38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67"/>
      <c r="BI46" s="67"/>
      <c r="BJ46" s="67"/>
      <c r="BK46" s="67"/>
      <c r="BL46" s="67"/>
      <c r="BM46" s="67"/>
      <c r="BN46" s="67"/>
      <c r="BO46" s="67"/>
    </row>
    <row r="47" spans="1:67" x14ac:dyDescent="0.2">
      <c r="A47" s="38"/>
      <c r="B47" s="69"/>
      <c r="C47" s="69"/>
      <c r="D47" s="69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7"/>
      <c r="R47" s="38"/>
      <c r="S47" s="38"/>
      <c r="T47" s="38"/>
      <c r="U47" s="38"/>
      <c r="V47" s="38"/>
      <c r="W47" s="38"/>
      <c r="X47" s="38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67"/>
      <c r="BI47" s="67"/>
      <c r="BJ47" s="67"/>
      <c r="BK47" s="67"/>
      <c r="BL47" s="67"/>
      <c r="BM47" s="67"/>
      <c r="BN47" s="67"/>
      <c r="BO47" s="67"/>
    </row>
    <row r="48" spans="1:67" x14ac:dyDescent="0.2">
      <c r="A48" s="38"/>
      <c r="B48" s="69" t="s">
        <v>2</v>
      </c>
      <c r="C48" s="69"/>
      <c r="D48" s="69"/>
      <c r="E48" s="38"/>
      <c r="F48" s="38"/>
      <c r="G48" s="67"/>
      <c r="H48" s="67"/>
      <c r="I48" s="67"/>
      <c r="J48" s="67"/>
      <c r="K48" s="38"/>
      <c r="L48" s="38"/>
      <c r="M48" s="38"/>
      <c r="N48" s="38"/>
      <c r="O48" s="38"/>
      <c r="P48" s="38"/>
      <c r="Q48" s="7"/>
      <c r="R48" s="38"/>
      <c r="S48" s="38"/>
      <c r="T48" s="38"/>
      <c r="U48" s="38"/>
      <c r="V48" s="38"/>
      <c r="W48" s="38"/>
      <c r="X48" s="38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38"/>
      <c r="BI48" s="38"/>
      <c r="BJ48" s="38"/>
      <c r="BK48" s="38"/>
      <c r="BL48" s="38"/>
      <c r="BM48" s="38"/>
      <c r="BN48" s="190"/>
      <c r="BO48" s="67"/>
    </row>
    <row r="49" spans="1:67" x14ac:dyDescent="0.2">
      <c r="A49" s="38"/>
      <c r="B49" s="69"/>
      <c r="C49" s="69"/>
      <c r="D49" s="69"/>
      <c r="E49" s="38"/>
      <c r="F49" s="38"/>
      <c r="G49" s="67" t="s">
        <v>2</v>
      </c>
      <c r="H49" s="67"/>
      <c r="I49" s="67"/>
      <c r="J49" s="67"/>
      <c r="K49" s="38"/>
      <c r="L49" s="38"/>
      <c r="M49" s="38"/>
      <c r="N49" s="38"/>
      <c r="O49" s="38"/>
      <c r="P49" s="38"/>
      <c r="Q49" s="7"/>
      <c r="R49" s="38"/>
      <c r="S49" s="38"/>
      <c r="T49" s="38"/>
      <c r="U49" s="38"/>
      <c r="V49" s="38"/>
      <c r="W49" s="38"/>
      <c r="X49" s="38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38"/>
      <c r="BI49" s="38"/>
      <c r="BJ49" s="38"/>
      <c r="BK49" s="38"/>
      <c r="BL49" s="38"/>
      <c r="BM49" s="38"/>
      <c r="BN49" s="38"/>
      <c r="BO49" s="38"/>
    </row>
    <row r="50" spans="1:67" x14ac:dyDescent="0.2">
      <c r="A50" s="38"/>
      <c r="B50" s="69"/>
      <c r="C50" s="69"/>
      <c r="D50" s="69"/>
      <c r="E50" s="38"/>
      <c r="F50" s="38"/>
      <c r="G50" s="38" t="s">
        <v>2</v>
      </c>
      <c r="H50" s="38"/>
      <c r="I50" s="38"/>
      <c r="J50" s="38"/>
      <c r="K50" s="38"/>
      <c r="L50" s="38"/>
      <c r="M50" s="38"/>
      <c r="N50" s="38"/>
      <c r="O50" s="38"/>
      <c r="P50" s="38"/>
      <c r="Q50" s="7"/>
      <c r="R50" s="38"/>
      <c r="S50" s="38"/>
      <c r="T50" s="38"/>
      <c r="U50" s="38"/>
      <c r="V50" s="38"/>
      <c r="W50" s="38"/>
      <c r="X50" s="38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38"/>
      <c r="BI50" s="38"/>
      <c r="BJ50" s="38"/>
      <c r="BK50" s="38"/>
      <c r="BL50" s="38"/>
      <c r="BM50" s="38"/>
      <c r="BN50" s="38"/>
      <c r="BO50" s="38"/>
    </row>
    <row r="51" spans="1:67" x14ac:dyDescent="0.2">
      <c r="A51" s="38"/>
      <c r="B51" s="69"/>
      <c r="C51" s="69"/>
      <c r="D51" s="69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7"/>
      <c r="R51" s="38"/>
      <c r="S51" s="38"/>
      <c r="T51" s="38"/>
      <c r="U51" s="38"/>
      <c r="V51" s="38"/>
      <c r="W51" s="38"/>
      <c r="X51" s="38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38"/>
      <c r="BI51" s="38"/>
      <c r="BJ51" s="38"/>
      <c r="BK51" s="38"/>
      <c r="BL51" s="38"/>
      <c r="BM51" s="38"/>
      <c r="BN51" s="38"/>
      <c r="BO51" s="38"/>
    </row>
    <row r="52" spans="1:67" x14ac:dyDescent="0.2">
      <c r="A52" s="38"/>
      <c r="B52" s="69"/>
      <c r="C52" s="69"/>
      <c r="D52" s="69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7"/>
      <c r="R52" s="38"/>
      <c r="S52" s="38"/>
      <c r="T52" s="38"/>
      <c r="U52" s="38"/>
      <c r="V52" s="38"/>
      <c r="W52" s="38"/>
      <c r="X52" s="38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38"/>
      <c r="BI52" s="38"/>
      <c r="BJ52" s="38"/>
      <c r="BK52" s="38"/>
      <c r="BL52" s="38"/>
      <c r="BM52" s="38"/>
      <c r="BN52" s="38"/>
      <c r="BO52" s="38"/>
    </row>
    <row r="53" spans="1:67" x14ac:dyDescent="0.2">
      <c r="A53" s="38"/>
      <c r="B53" s="69"/>
      <c r="C53" s="69"/>
      <c r="D53" s="69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7"/>
      <c r="R53" s="38"/>
      <c r="S53" s="38"/>
      <c r="T53" s="38"/>
      <c r="U53" s="38"/>
      <c r="V53" s="38"/>
      <c r="W53" s="38"/>
      <c r="X53" s="38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38"/>
      <c r="BI53" s="38"/>
      <c r="BJ53" s="38"/>
      <c r="BK53" s="38"/>
      <c r="BL53" s="38"/>
      <c r="BM53" s="38"/>
      <c r="BN53" s="38"/>
      <c r="BO53" s="38"/>
    </row>
    <row r="54" spans="1:67" x14ac:dyDescent="0.2">
      <c r="A54" s="38"/>
      <c r="B54" s="69"/>
      <c r="C54" s="69"/>
      <c r="D54" s="69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7"/>
      <c r="R54" s="38"/>
      <c r="S54" s="38"/>
      <c r="T54" s="38"/>
      <c r="U54" s="38"/>
      <c r="V54" s="38"/>
      <c r="W54" s="38"/>
      <c r="X54" s="38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38"/>
      <c r="BI54" s="38"/>
      <c r="BJ54" s="38"/>
      <c r="BK54" s="38"/>
      <c r="BL54" s="38"/>
      <c r="BM54" s="38"/>
      <c r="BN54" s="38"/>
      <c r="BO54" s="38"/>
    </row>
    <row r="55" spans="1:67" x14ac:dyDescent="0.2">
      <c r="A55" s="38"/>
      <c r="B55" s="69"/>
      <c r="C55" s="69"/>
      <c r="D55" s="69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7"/>
      <c r="R55" s="38"/>
      <c r="S55" s="38"/>
      <c r="T55" s="38"/>
      <c r="U55" s="38"/>
      <c r="V55" s="38"/>
      <c r="W55" s="38"/>
      <c r="X55" s="38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38"/>
      <c r="BI55" s="38"/>
      <c r="BJ55" s="38"/>
      <c r="BK55" s="38"/>
      <c r="BL55" s="38"/>
      <c r="BM55" s="38"/>
      <c r="BN55" s="38"/>
      <c r="BO55" s="38"/>
    </row>
    <row r="56" spans="1:67" x14ac:dyDescent="0.2">
      <c r="A56" s="38"/>
      <c r="B56" s="69"/>
      <c r="C56" s="69"/>
      <c r="D56" s="69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7"/>
      <c r="R56" s="38"/>
      <c r="S56" s="38"/>
      <c r="T56" s="38"/>
      <c r="U56" s="38"/>
      <c r="V56" s="38"/>
      <c r="W56" s="38"/>
      <c r="X56" s="38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38"/>
      <c r="BI56" s="38"/>
      <c r="BJ56" s="38"/>
      <c r="BK56" s="38"/>
      <c r="BL56" s="38"/>
      <c r="BM56" s="38"/>
      <c r="BN56" s="38"/>
      <c r="BO56" s="38"/>
    </row>
    <row r="57" spans="1:67" x14ac:dyDescent="0.2">
      <c r="A57" s="38"/>
      <c r="B57" s="69"/>
      <c r="C57" s="69"/>
      <c r="D57" s="69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7"/>
      <c r="R57" s="38"/>
      <c r="S57" s="38"/>
      <c r="T57" s="38"/>
      <c r="U57" s="38"/>
      <c r="V57" s="38"/>
      <c r="W57" s="38"/>
      <c r="X57" s="38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38"/>
      <c r="BI57" s="38"/>
      <c r="BJ57" s="38"/>
      <c r="BK57" s="38"/>
      <c r="BL57" s="38"/>
      <c r="BM57" s="38"/>
      <c r="BN57" s="38"/>
      <c r="BO57" s="38"/>
    </row>
    <row r="58" spans="1:67" x14ac:dyDescent="0.2">
      <c r="A58" s="38"/>
      <c r="B58" s="69"/>
      <c r="C58" s="69"/>
      <c r="D58" s="69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7"/>
      <c r="R58" s="38"/>
      <c r="S58" s="38"/>
      <c r="T58" s="38"/>
      <c r="U58" s="38"/>
      <c r="V58" s="38"/>
      <c r="W58" s="38"/>
      <c r="X58" s="38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38"/>
      <c r="BI58" s="38"/>
      <c r="BJ58" s="38"/>
      <c r="BK58" s="38"/>
      <c r="BL58" s="38"/>
      <c r="BM58" s="38"/>
      <c r="BN58" s="38"/>
      <c r="BO58" s="38"/>
    </row>
    <row r="59" spans="1:67" x14ac:dyDescent="0.2">
      <c r="A59" s="38"/>
      <c r="B59" s="69"/>
      <c r="C59" s="69"/>
      <c r="D59" s="69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7"/>
      <c r="R59" s="38"/>
      <c r="S59" s="38"/>
      <c r="T59" s="38"/>
      <c r="U59" s="38"/>
      <c r="V59" s="38"/>
      <c r="W59" s="38"/>
      <c r="X59" s="38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38"/>
      <c r="BI59" s="38"/>
      <c r="BJ59" s="38"/>
      <c r="BK59" s="38"/>
      <c r="BL59" s="38"/>
      <c r="BM59" s="38"/>
      <c r="BN59" s="38"/>
      <c r="BO59" s="38"/>
    </row>
    <row r="60" spans="1:67" x14ac:dyDescent="0.2">
      <c r="A60" s="38"/>
      <c r="B60" s="69"/>
      <c r="C60" s="69"/>
      <c r="D60" s="69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7"/>
      <c r="R60" s="38"/>
      <c r="S60" s="38"/>
      <c r="T60" s="38"/>
      <c r="U60" s="38"/>
      <c r="V60" s="38"/>
      <c r="W60" s="38"/>
      <c r="X60" s="38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38"/>
      <c r="BI60" s="38"/>
      <c r="BJ60" s="38"/>
      <c r="BK60" s="38"/>
      <c r="BL60" s="38"/>
      <c r="BM60" s="38"/>
      <c r="BN60" s="38"/>
      <c r="BO60" s="38"/>
    </row>
    <row r="61" spans="1:67" x14ac:dyDescent="0.2">
      <c r="A61" s="38"/>
      <c r="B61" s="69"/>
      <c r="C61" s="69"/>
      <c r="D61" s="69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7"/>
      <c r="R61" s="38"/>
      <c r="S61" s="38"/>
      <c r="T61" s="38"/>
      <c r="U61" s="38"/>
      <c r="V61" s="38"/>
      <c r="W61" s="38"/>
      <c r="X61" s="38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38"/>
      <c r="BI61" s="38"/>
      <c r="BJ61" s="38"/>
      <c r="BK61" s="38"/>
      <c r="BL61" s="38"/>
      <c r="BM61" s="38"/>
      <c r="BN61" s="38"/>
      <c r="BO61" s="38"/>
    </row>
    <row r="62" spans="1:67" x14ac:dyDescent="0.2">
      <c r="A62" s="38"/>
      <c r="B62" s="69"/>
      <c r="C62" s="69"/>
      <c r="D62" s="69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7"/>
      <c r="R62" s="38"/>
      <c r="S62" s="38"/>
      <c r="T62" s="38"/>
      <c r="U62" s="38"/>
      <c r="V62" s="38"/>
      <c r="W62" s="38"/>
      <c r="X62" s="38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38"/>
      <c r="BI62" s="38"/>
      <c r="BJ62" s="38"/>
      <c r="BK62" s="38"/>
      <c r="BL62" s="38"/>
      <c r="BM62" s="38"/>
      <c r="BN62" s="38"/>
      <c r="BO62" s="38"/>
    </row>
    <row r="63" spans="1:67" x14ac:dyDescent="0.2">
      <c r="A63" s="38"/>
      <c r="B63" s="69"/>
      <c r="C63" s="69"/>
      <c r="D63" s="69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7"/>
      <c r="R63" s="38"/>
      <c r="S63" s="38"/>
      <c r="T63" s="38"/>
      <c r="U63" s="38"/>
      <c r="V63" s="38"/>
      <c r="W63" s="38"/>
      <c r="X63" s="38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38"/>
      <c r="BI63" s="38"/>
      <c r="BJ63" s="38"/>
      <c r="BK63" s="38"/>
      <c r="BL63" s="38"/>
      <c r="BM63" s="38"/>
      <c r="BN63" s="38"/>
      <c r="BO63" s="38"/>
    </row>
    <row r="64" spans="1:67" x14ac:dyDescent="0.2">
      <c r="A64" s="38"/>
      <c r="B64" s="69"/>
      <c r="C64" s="69"/>
      <c r="D64" s="69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7"/>
      <c r="R64" s="38"/>
      <c r="S64" s="38"/>
      <c r="T64" s="38"/>
      <c r="U64" s="38"/>
      <c r="V64" s="38"/>
      <c r="W64" s="38"/>
      <c r="X64" s="38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38"/>
      <c r="BI64" s="38"/>
      <c r="BJ64" s="38"/>
      <c r="BK64" s="38"/>
      <c r="BL64" s="38"/>
      <c r="BM64" s="38"/>
      <c r="BN64" s="38"/>
      <c r="BO64" s="38"/>
    </row>
    <row r="65" spans="1:67" x14ac:dyDescent="0.2">
      <c r="A65" s="38"/>
      <c r="B65" s="69"/>
      <c r="C65" s="69"/>
      <c r="D65" s="69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7"/>
      <c r="R65" s="38"/>
      <c r="S65" s="38"/>
      <c r="T65" s="38"/>
      <c r="U65" s="38"/>
      <c r="V65" s="38"/>
      <c r="W65" s="38"/>
      <c r="X65" s="38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38"/>
      <c r="BI65" s="38"/>
      <c r="BJ65" s="38"/>
      <c r="BK65" s="38"/>
      <c r="BL65" s="38"/>
      <c r="BM65" s="38"/>
      <c r="BN65" s="38"/>
      <c r="BO65" s="38"/>
    </row>
    <row r="66" spans="1:67" x14ac:dyDescent="0.2">
      <c r="A66" s="38"/>
      <c r="B66" s="69"/>
      <c r="C66" s="69"/>
      <c r="D66" s="69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7"/>
      <c r="R66" s="38"/>
      <c r="S66" s="38"/>
      <c r="T66" s="38"/>
      <c r="U66" s="38"/>
      <c r="V66" s="38"/>
      <c r="W66" s="38"/>
      <c r="X66" s="38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38"/>
      <c r="BI66" s="38"/>
      <c r="BJ66" s="38"/>
      <c r="BK66" s="38"/>
      <c r="BL66" s="38"/>
      <c r="BM66" s="38"/>
      <c r="BN66" s="38"/>
      <c r="BO66" s="38"/>
    </row>
    <row r="67" spans="1:67" x14ac:dyDescent="0.2">
      <c r="A67" s="38"/>
      <c r="B67" s="69"/>
      <c r="C67" s="69"/>
      <c r="D67" s="69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7"/>
      <c r="R67" s="38"/>
      <c r="S67" s="38"/>
      <c r="T67" s="38"/>
      <c r="U67" s="38"/>
      <c r="V67" s="38"/>
      <c r="W67" s="38"/>
      <c r="X67" s="38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38"/>
      <c r="BI67" s="38"/>
      <c r="BJ67" s="38"/>
      <c r="BK67" s="38"/>
      <c r="BL67" s="38"/>
      <c r="BM67" s="38"/>
      <c r="BN67" s="38"/>
      <c r="BO67" s="38"/>
    </row>
    <row r="68" spans="1:67" x14ac:dyDescent="0.2">
      <c r="A68" s="38"/>
      <c r="B68" s="69"/>
      <c r="C68" s="69"/>
      <c r="D68" s="69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7"/>
      <c r="R68" s="38"/>
      <c r="S68" s="38"/>
      <c r="T68" s="38"/>
      <c r="U68" s="38"/>
      <c r="V68" s="38"/>
      <c r="W68" s="38"/>
      <c r="X68" s="38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38"/>
      <c r="BI68" s="38"/>
      <c r="BJ68" s="38"/>
      <c r="BK68" s="38"/>
      <c r="BL68" s="38"/>
      <c r="BM68" s="38"/>
      <c r="BN68" s="38"/>
      <c r="BO68" s="38"/>
    </row>
    <row r="69" spans="1:67" x14ac:dyDescent="0.2">
      <c r="A69" s="38"/>
      <c r="B69" s="69"/>
      <c r="C69" s="69"/>
      <c r="D69" s="69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7"/>
      <c r="R69" s="38"/>
      <c r="S69" s="38"/>
      <c r="T69" s="38"/>
      <c r="U69" s="38"/>
      <c r="V69" s="38"/>
      <c r="W69" s="38"/>
      <c r="X69" s="38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38"/>
      <c r="BI69" s="38"/>
      <c r="BJ69" s="38"/>
      <c r="BK69" s="38"/>
      <c r="BL69" s="38"/>
      <c r="BM69" s="38"/>
      <c r="BN69" s="38"/>
      <c r="BO69" s="38"/>
    </row>
    <row r="70" spans="1:67" x14ac:dyDescent="0.2">
      <c r="A70" s="38"/>
      <c r="B70" s="69"/>
      <c r="C70" s="69"/>
      <c r="D70" s="69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7"/>
      <c r="R70" s="38"/>
      <c r="S70" s="38"/>
      <c r="T70" s="38"/>
      <c r="U70" s="38"/>
      <c r="V70" s="38"/>
      <c r="W70" s="38"/>
      <c r="X70" s="38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38"/>
      <c r="BI70" s="38"/>
      <c r="BJ70" s="38"/>
      <c r="BK70" s="38"/>
      <c r="BL70" s="38"/>
      <c r="BM70" s="38"/>
      <c r="BN70" s="38"/>
      <c r="BO70" s="38"/>
    </row>
    <row r="71" spans="1:67" x14ac:dyDescent="0.2">
      <c r="A71" s="38"/>
      <c r="B71" s="69"/>
      <c r="C71" s="69"/>
      <c r="D71" s="69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7"/>
      <c r="R71" s="38"/>
      <c r="S71" s="38"/>
      <c r="T71" s="38"/>
      <c r="U71" s="38"/>
      <c r="V71" s="38"/>
      <c r="W71" s="38"/>
      <c r="X71" s="38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38"/>
      <c r="BI71" s="38"/>
      <c r="BJ71" s="38"/>
      <c r="BK71" s="38"/>
      <c r="BL71" s="38"/>
      <c r="BM71" s="38"/>
      <c r="BN71" s="38"/>
      <c r="BO71" s="38"/>
    </row>
    <row r="72" spans="1:67" x14ac:dyDescent="0.2">
      <c r="A72" s="38"/>
      <c r="B72" s="69"/>
      <c r="C72" s="69"/>
      <c r="D72" s="69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7"/>
      <c r="R72" s="38"/>
      <c r="S72" s="38"/>
      <c r="T72" s="38"/>
      <c r="U72" s="38"/>
      <c r="V72" s="38"/>
      <c r="W72" s="38"/>
      <c r="X72" s="38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38"/>
      <c r="BI72" s="38"/>
      <c r="BJ72" s="38"/>
      <c r="BK72" s="38"/>
      <c r="BL72" s="38"/>
      <c r="BM72" s="38"/>
      <c r="BN72" s="38"/>
      <c r="BO72" s="38"/>
    </row>
    <row r="73" spans="1:67" x14ac:dyDescent="0.2">
      <c r="A73" s="38"/>
      <c r="B73" s="69"/>
      <c r="C73" s="69"/>
      <c r="D73" s="69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7"/>
      <c r="R73" s="38"/>
      <c r="S73" s="38"/>
      <c r="T73" s="38"/>
      <c r="U73" s="38"/>
      <c r="V73" s="38"/>
      <c r="W73" s="38"/>
      <c r="X73" s="38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38"/>
      <c r="BI73" s="38"/>
      <c r="BJ73" s="38"/>
      <c r="BK73" s="38"/>
      <c r="BL73" s="38"/>
      <c r="BM73" s="38"/>
      <c r="BN73" s="38"/>
      <c r="BO73" s="38"/>
    </row>
    <row r="74" spans="1:67" x14ac:dyDescent="0.2">
      <c r="A74" s="38"/>
      <c r="B74" s="69"/>
      <c r="C74" s="69"/>
      <c r="D74" s="69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7"/>
      <c r="R74" s="38"/>
      <c r="S74" s="38"/>
      <c r="T74" s="38"/>
      <c r="U74" s="38"/>
      <c r="V74" s="38"/>
      <c r="W74" s="38"/>
      <c r="X74" s="38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38"/>
      <c r="BI74" s="38"/>
      <c r="BJ74" s="38"/>
      <c r="BK74" s="38"/>
      <c r="BL74" s="38"/>
      <c r="BM74" s="38"/>
      <c r="BN74" s="38"/>
      <c r="BO74" s="38"/>
    </row>
    <row r="75" spans="1:67" x14ac:dyDescent="0.2">
      <c r="A75" s="38"/>
      <c r="B75" s="69"/>
      <c r="C75" s="69"/>
      <c r="D75" s="69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7"/>
      <c r="R75" s="38"/>
      <c r="S75" s="38"/>
      <c r="T75" s="38"/>
      <c r="U75" s="38"/>
      <c r="V75" s="38"/>
      <c r="W75" s="38"/>
      <c r="X75" s="38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38"/>
      <c r="BI75" s="38"/>
      <c r="BJ75" s="38"/>
      <c r="BK75" s="38"/>
      <c r="BL75" s="38"/>
      <c r="BM75" s="38"/>
      <c r="BN75" s="38"/>
      <c r="BO75" s="38"/>
    </row>
    <row r="76" spans="1:67" x14ac:dyDescent="0.2">
      <c r="A76" s="38"/>
      <c r="B76" s="69"/>
      <c r="C76" s="69"/>
      <c r="D76" s="69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7"/>
      <c r="R76" s="38"/>
      <c r="S76" s="38"/>
      <c r="T76" s="38"/>
      <c r="U76" s="38"/>
      <c r="V76" s="38"/>
      <c r="W76" s="38"/>
      <c r="X76" s="38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38"/>
      <c r="BI76" s="38"/>
      <c r="BJ76" s="38"/>
      <c r="BK76" s="38"/>
      <c r="BL76" s="38"/>
      <c r="BM76" s="38"/>
      <c r="BN76" s="38"/>
      <c r="BO76" s="38"/>
    </row>
    <row r="77" spans="1:67" x14ac:dyDescent="0.2">
      <c r="A77" s="38"/>
      <c r="B77" s="69"/>
      <c r="C77" s="69"/>
      <c r="D77" s="69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7"/>
      <c r="R77" s="38"/>
      <c r="S77" s="38"/>
      <c r="T77" s="38"/>
      <c r="U77" s="38"/>
      <c r="V77" s="38"/>
      <c r="W77" s="38"/>
      <c r="X77" s="38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38"/>
      <c r="BI77" s="38"/>
      <c r="BJ77" s="38"/>
      <c r="BK77" s="38"/>
      <c r="BL77" s="38"/>
      <c r="BM77" s="38"/>
      <c r="BN77" s="38"/>
      <c r="BO77" s="38"/>
    </row>
    <row r="78" spans="1:67" x14ac:dyDescent="0.2">
      <c r="A78" s="38"/>
      <c r="B78" s="69"/>
      <c r="C78" s="69"/>
      <c r="D78" s="69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7"/>
      <c r="R78" s="38"/>
      <c r="S78" s="38"/>
      <c r="T78" s="38"/>
      <c r="U78" s="38"/>
      <c r="V78" s="38"/>
      <c r="W78" s="38"/>
      <c r="X78" s="38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38"/>
      <c r="BI78" s="38"/>
      <c r="BJ78" s="38"/>
      <c r="BK78" s="38"/>
      <c r="BL78" s="38"/>
      <c r="BM78" s="38"/>
      <c r="BN78" s="38"/>
      <c r="BO78" s="38"/>
    </row>
    <row r="79" spans="1:67" x14ac:dyDescent="0.2">
      <c r="A79" s="38"/>
      <c r="B79" s="69"/>
      <c r="C79" s="69"/>
      <c r="D79" s="69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7"/>
      <c r="R79" s="38"/>
      <c r="S79" s="38"/>
      <c r="T79" s="38"/>
      <c r="U79" s="38"/>
      <c r="V79" s="38"/>
      <c r="W79" s="38"/>
      <c r="X79" s="38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38"/>
      <c r="BI79" s="38"/>
      <c r="BJ79" s="38"/>
      <c r="BK79" s="38"/>
      <c r="BL79" s="38"/>
      <c r="BM79" s="38"/>
      <c r="BN79" s="38"/>
      <c r="BO79" s="38"/>
    </row>
    <row r="80" spans="1:67" x14ac:dyDescent="0.2">
      <c r="A80" s="38"/>
      <c r="B80" s="69"/>
      <c r="C80" s="69"/>
      <c r="D80" s="69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7"/>
      <c r="R80" s="38"/>
      <c r="S80" s="38"/>
      <c r="T80" s="38"/>
      <c r="U80" s="38"/>
      <c r="V80" s="38"/>
      <c r="W80" s="38"/>
      <c r="X80" s="38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38"/>
      <c r="BI80" s="38"/>
      <c r="BJ80" s="38"/>
      <c r="BK80" s="38"/>
      <c r="BL80" s="38"/>
      <c r="BM80" s="38"/>
      <c r="BN80" s="38"/>
      <c r="BO80" s="38"/>
    </row>
    <row r="81" spans="1:67" x14ac:dyDescent="0.2">
      <c r="A81" s="38"/>
      <c r="B81" s="69"/>
      <c r="C81" s="69"/>
      <c r="D81" s="69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7"/>
      <c r="R81" s="38"/>
      <c r="S81" s="38"/>
      <c r="T81" s="38"/>
      <c r="U81" s="38"/>
      <c r="V81" s="38"/>
      <c r="W81" s="38"/>
      <c r="X81" s="38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38"/>
      <c r="BI81" s="38"/>
      <c r="BJ81" s="38"/>
      <c r="BK81" s="38"/>
      <c r="BL81" s="38"/>
      <c r="BM81" s="38"/>
      <c r="BN81" s="38"/>
      <c r="BO81" s="38"/>
    </row>
    <row r="82" spans="1:67" x14ac:dyDescent="0.2">
      <c r="A82" s="38"/>
      <c r="B82" s="69"/>
      <c r="C82" s="69"/>
      <c r="D82" s="69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7"/>
      <c r="R82" s="38"/>
      <c r="S82" s="38"/>
      <c r="T82" s="38"/>
      <c r="U82" s="38"/>
      <c r="V82" s="38"/>
      <c r="W82" s="38"/>
      <c r="X82" s="38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38"/>
      <c r="BI82" s="38"/>
      <c r="BJ82" s="38"/>
      <c r="BK82" s="38"/>
      <c r="BL82" s="38"/>
      <c r="BM82" s="38"/>
      <c r="BN82" s="38"/>
      <c r="BO82" s="38"/>
    </row>
    <row r="83" spans="1:67" x14ac:dyDescent="0.2">
      <c r="A83" s="38"/>
      <c r="B83" s="69"/>
      <c r="C83" s="69"/>
      <c r="D83" s="69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7"/>
      <c r="R83" s="38"/>
      <c r="S83" s="38"/>
      <c r="T83" s="38"/>
      <c r="U83" s="38"/>
      <c r="V83" s="38"/>
      <c r="W83" s="38"/>
      <c r="X83" s="38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38"/>
      <c r="BI83" s="38"/>
      <c r="BJ83" s="38"/>
      <c r="BK83" s="38"/>
      <c r="BL83" s="38"/>
      <c r="BM83" s="38"/>
      <c r="BN83" s="38"/>
      <c r="BO83" s="38"/>
    </row>
    <row r="84" spans="1:67" x14ac:dyDescent="0.2">
      <c r="A84" s="38"/>
      <c r="B84" s="69"/>
      <c r="C84" s="69"/>
      <c r="D84" s="69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7"/>
      <c r="R84" s="38"/>
      <c r="S84" s="38"/>
      <c r="T84" s="38"/>
      <c r="U84" s="38"/>
      <c r="V84" s="38"/>
      <c r="W84" s="38"/>
      <c r="X84" s="38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38"/>
      <c r="BI84" s="38"/>
      <c r="BJ84" s="38"/>
      <c r="BK84" s="38"/>
      <c r="BL84" s="38"/>
      <c r="BM84" s="38"/>
      <c r="BN84" s="38"/>
      <c r="BO84" s="38"/>
    </row>
    <row r="85" spans="1:67" x14ac:dyDescent="0.2">
      <c r="A85" s="38"/>
      <c r="B85" s="69"/>
      <c r="C85" s="69"/>
      <c r="D85" s="69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7"/>
      <c r="R85" s="38"/>
      <c r="S85" s="38"/>
      <c r="T85" s="38"/>
      <c r="U85" s="38"/>
      <c r="V85" s="38"/>
      <c r="W85" s="38"/>
      <c r="X85" s="38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38"/>
      <c r="BI85" s="38"/>
      <c r="BJ85" s="38"/>
      <c r="BK85" s="38"/>
      <c r="BL85" s="38"/>
      <c r="BM85" s="38"/>
      <c r="BN85" s="38"/>
      <c r="BO85" s="38"/>
    </row>
    <row r="86" spans="1:67" x14ac:dyDescent="0.2">
      <c r="A86" s="38"/>
      <c r="B86" s="69"/>
      <c r="C86" s="69"/>
      <c r="D86" s="69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7"/>
      <c r="R86" s="38"/>
      <c r="S86" s="38"/>
      <c r="T86" s="38"/>
      <c r="U86" s="38"/>
      <c r="V86" s="38"/>
      <c r="W86" s="38"/>
      <c r="X86" s="38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38"/>
      <c r="BI86" s="38"/>
      <c r="BJ86" s="38"/>
      <c r="BK86" s="38"/>
      <c r="BL86" s="38"/>
      <c r="BM86" s="38"/>
      <c r="BN86" s="38"/>
      <c r="BO86" s="38"/>
    </row>
    <row r="87" spans="1:67" x14ac:dyDescent="0.2">
      <c r="A87" s="38"/>
      <c r="B87" s="69"/>
      <c r="C87" s="69"/>
      <c r="D87" s="69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7"/>
      <c r="R87" s="38"/>
      <c r="S87" s="38"/>
      <c r="T87" s="38"/>
      <c r="U87" s="38"/>
      <c r="V87" s="38"/>
      <c r="W87" s="38"/>
      <c r="X87" s="38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38"/>
      <c r="BI87" s="38"/>
      <c r="BJ87" s="38"/>
      <c r="BK87" s="38"/>
      <c r="BL87" s="38"/>
      <c r="BM87" s="38"/>
      <c r="BN87" s="38"/>
      <c r="BO87" s="38"/>
    </row>
    <row r="88" spans="1:67" x14ac:dyDescent="0.2">
      <c r="A88" s="38"/>
      <c r="B88" s="69"/>
      <c r="C88" s="69"/>
      <c r="D88" s="69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7"/>
      <c r="R88" s="38"/>
      <c r="S88" s="38"/>
      <c r="T88" s="38"/>
      <c r="U88" s="38"/>
      <c r="V88" s="38"/>
      <c r="W88" s="38"/>
      <c r="X88" s="38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38"/>
      <c r="BI88" s="38"/>
      <c r="BJ88" s="38"/>
      <c r="BK88" s="38"/>
      <c r="BL88" s="38"/>
      <c r="BM88" s="38"/>
      <c r="BN88" s="38"/>
      <c r="BO88" s="38"/>
    </row>
    <row r="89" spans="1:67" x14ac:dyDescent="0.2">
      <c r="A89" s="38"/>
      <c r="B89" s="69"/>
      <c r="C89" s="69"/>
      <c r="D89" s="69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7"/>
      <c r="R89" s="38"/>
      <c r="S89" s="38"/>
      <c r="T89" s="38"/>
      <c r="U89" s="38"/>
      <c r="V89" s="38"/>
      <c r="W89" s="38"/>
      <c r="X89" s="38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38"/>
      <c r="BI89" s="38"/>
      <c r="BJ89" s="38"/>
      <c r="BK89" s="38"/>
      <c r="BL89" s="38"/>
      <c r="BM89" s="38"/>
      <c r="BN89" s="38"/>
      <c r="BO89" s="38"/>
    </row>
    <row r="90" spans="1:67" x14ac:dyDescent="0.2">
      <c r="A90" s="38"/>
      <c r="B90" s="69"/>
      <c r="C90" s="69"/>
      <c r="D90" s="69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7"/>
      <c r="R90" s="38"/>
      <c r="S90" s="38"/>
      <c r="T90" s="38"/>
      <c r="U90" s="38"/>
      <c r="V90" s="38"/>
      <c r="W90" s="38"/>
      <c r="X90" s="38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38"/>
      <c r="BI90" s="38"/>
      <c r="BJ90" s="38"/>
      <c r="BK90" s="38"/>
      <c r="BL90" s="38"/>
      <c r="BM90" s="38"/>
      <c r="BN90" s="38"/>
      <c r="BO90" s="38"/>
    </row>
    <row r="91" spans="1:67" x14ac:dyDescent="0.2">
      <c r="A91" s="38"/>
      <c r="B91" s="69"/>
      <c r="C91" s="69"/>
      <c r="D91" s="69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7"/>
      <c r="R91" s="38"/>
      <c r="S91" s="38"/>
      <c r="T91" s="38"/>
      <c r="U91" s="38"/>
      <c r="V91" s="38"/>
      <c r="W91" s="38"/>
      <c r="X91" s="38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38"/>
      <c r="BI91" s="38"/>
      <c r="BJ91" s="38"/>
      <c r="BK91" s="38"/>
      <c r="BL91" s="38"/>
      <c r="BM91" s="38"/>
      <c r="BN91" s="38"/>
      <c r="BO91" s="38"/>
    </row>
    <row r="92" spans="1:67" x14ac:dyDescent="0.2">
      <c r="A92" s="38"/>
      <c r="B92" s="69"/>
      <c r="C92" s="69"/>
      <c r="D92" s="69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7"/>
      <c r="R92" s="38"/>
      <c r="S92" s="38"/>
      <c r="T92" s="38"/>
      <c r="U92" s="38"/>
      <c r="V92" s="38"/>
      <c r="W92" s="38"/>
      <c r="X92" s="38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38"/>
      <c r="BI92" s="38"/>
      <c r="BJ92" s="38"/>
      <c r="BK92" s="38"/>
      <c r="BL92" s="38"/>
      <c r="BM92" s="38"/>
      <c r="BN92" s="38"/>
      <c r="BO92" s="38"/>
    </row>
    <row r="93" spans="1:67" x14ac:dyDescent="0.2">
      <c r="A93" s="38"/>
      <c r="B93" s="69"/>
      <c r="C93" s="69"/>
      <c r="D93" s="69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7"/>
      <c r="R93" s="38"/>
      <c r="S93" s="38"/>
      <c r="T93" s="38"/>
      <c r="U93" s="38"/>
      <c r="V93" s="38"/>
      <c r="W93" s="38"/>
      <c r="X93" s="38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38"/>
      <c r="BI93" s="38"/>
      <c r="BJ93" s="38"/>
      <c r="BK93" s="38"/>
      <c r="BL93" s="38"/>
      <c r="BM93" s="38"/>
      <c r="BN93" s="38"/>
      <c r="BO93" s="38"/>
    </row>
    <row r="94" spans="1:67" x14ac:dyDescent="0.2">
      <c r="A94" s="38"/>
      <c r="B94" s="69"/>
      <c r="C94" s="69"/>
      <c r="D94" s="69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7"/>
      <c r="R94" s="38"/>
      <c r="S94" s="38"/>
      <c r="T94" s="38"/>
      <c r="U94" s="38"/>
      <c r="V94" s="38"/>
      <c r="W94" s="38"/>
      <c r="X94" s="38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38"/>
      <c r="BI94" s="38"/>
      <c r="BJ94" s="38"/>
      <c r="BK94" s="38"/>
      <c r="BL94" s="38"/>
      <c r="BM94" s="38"/>
      <c r="BN94" s="38"/>
      <c r="BO94" s="38"/>
    </row>
    <row r="95" spans="1:67" x14ac:dyDescent="0.2">
      <c r="A95" s="38"/>
      <c r="B95" s="69"/>
      <c r="C95" s="69"/>
      <c r="D95" s="69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7"/>
      <c r="R95" s="38"/>
      <c r="S95" s="38"/>
      <c r="T95" s="38"/>
      <c r="U95" s="38"/>
      <c r="V95" s="38"/>
      <c r="W95" s="38"/>
      <c r="X95" s="38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38"/>
      <c r="BI95" s="38"/>
      <c r="BJ95" s="38"/>
      <c r="BK95" s="38"/>
      <c r="BL95" s="38"/>
      <c r="BM95" s="38"/>
      <c r="BN95" s="38"/>
      <c r="BO95" s="38"/>
    </row>
    <row r="96" spans="1:67" x14ac:dyDescent="0.2">
      <c r="A96" s="38"/>
      <c r="B96" s="69"/>
      <c r="C96" s="69"/>
      <c r="D96" s="69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7"/>
      <c r="R96" s="38"/>
      <c r="S96" s="38"/>
      <c r="T96" s="38"/>
      <c r="U96" s="38"/>
      <c r="V96" s="38"/>
      <c r="W96" s="38"/>
      <c r="X96" s="38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38"/>
      <c r="BI96" s="38"/>
      <c r="BJ96" s="38"/>
      <c r="BK96" s="38"/>
      <c r="BL96" s="38"/>
      <c r="BM96" s="38"/>
      <c r="BN96" s="38"/>
      <c r="BO96" s="38"/>
    </row>
    <row r="97" spans="1:67" x14ac:dyDescent="0.2">
      <c r="A97" s="38"/>
      <c r="B97" s="69"/>
      <c r="C97" s="69"/>
      <c r="D97" s="69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7"/>
      <c r="R97" s="38"/>
      <c r="S97" s="38"/>
      <c r="T97" s="38"/>
      <c r="U97" s="38"/>
      <c r="V97" s="38"/>
      <c r="W97" s="38"/>
      <c r="X97" s="38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38"/>
      <c r="BI97" s="38"/>
      <c r="BJ97" s="38"/>
      <c r="BK97" s="38"/>
      <c r="BL97" s="38"/>
      <c r="BM97" s="38"/>
      <c r="BN97" s="38"/>
      <c r="BO97" s="38"/>
    </row>
    <row r="98" spans="1:67" x14ac:dyDescent="0.2">
      <c r="A98" s="38"/>
      <c r="B98" s="69"/>
      <c r="C98" s="69"/>
      <c r="D98" s="69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7"/>
      <c r="R98" s="38"/>
      <c r="S98" s="38"/>
      <c r="T98" s="38"/>
      <c r="U98" s="38"/>
      <c r="V98" s="38"/>
      <c r="W98" s="38"/>
      <c r="X98" s="38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38"/>
      <c r="BI98" s="38"/>
      <c r="BJ98" s="38"/>
      <c r="BK98" s="38"/>
      <c r="BL98" s="38"/>
      <c r="BM98" s="38"/>
      <c r="BN98" s="38"/>
      <c r="BO98" s="38"/>
    </row>
    <row r="99" spans="1:67" x14ac:dyDescent="0.2">
      <c r="A99" s="38"/>
      <c r="B99" s="69"/>
      <c r="C99" s="69"/>
      <c r="D99" s="69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7"/>
      <c r="R99" s="38"/>
      <c r="S99" s="38"/>
      <c r="T99" s="38"/>
      <c r="U99" s="38"/>
      <c r="V99" s="38"/>
      <c r="W99" s="38"/>
      <c r="X99" s="38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38"/>
      <c r="BI99" s="38"/>
      <c r="BJ99" s="38"/>
      <c r="BK99" s="38"/>
      <c r="BL99" s="38"/>
      <c r="BM99" s="38"/>
      <c r="BN99" s="38"/>
      <c r="BO99" s="38"/>
    </row>
    <row r="100" spans="1:67" x14ac:dyDescent="0.2">
      <c r="A100" s="38"/>
      <c r="B100" s="69"/>
      <c r="C100" s="69"/>
      <c r="D100" s="69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7"/>
      <c r="R100" s="38"/>
      <c r="S100" s="38"/>
      <c r="T100" s="38"/>
      <c r="U100" s="38"/>
      <c r="V100" s="38"/>
      <c r="W100" s="38"/>
      <c r="X100" s="38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38"/>
      <c r="BI100" s="38"/>
      <c r="BJ100" s="38"/>
      <c r="BK100" s="38"/>
      <c r="BL100" s="38"/>
      <c r="BM100" s="38"/>
      <c r="BN100" s="38"/>
      <c r="BO100" s="38"/>
    </row>
    <row r="101" spans="1:67" x14ac:dyDescent="0.2">
      <c r="A101" s="38"/>
      <c r="B101" s="69"/>
      <c r="C101" s="69"/>
      <c r="D101" s="69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7"/>
      <c r="R101" s="38"/>
      <c r="S101" s="38"/>
      <c r="T101" s="38"/>
      <c r="U101" s="38"/>
      <c r="V101" s="38"/>
      <c r="W101" s="38"/>
      <c r="X101" s="38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38"/>
      <c r="BI101" s="38"/>
      <c r="BJ101" s="38"/>
      <c r="BK101" s="38"/>
      <c r="BL101" s="38"/>
      <c r="BM101" s="38"/>
      <c r="BN101" s="38"/>
      <c r="BO101" s="38"/>
    </row>
    <row r="102" spans="1:67" x14ac:dyDescent="0.2">
      <c r="A102" s="38"/>
      <c r="B102" s="69"/>
      <c r="C102" s="69"/>
      <c r="D102" s="69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7"/>
      <c r="R102" s="38"/>
      <c r="S102" s="38"/>
      <c r="T102" s="38"/>
      <c r="U102" s="38"/>
      <c r="V102" s="38"/>
      <c r="W102" s="38"/>
      <c r="X102" s="38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38"/>
      <c r="BI102" s="38"/>
      <c r="BJ102" s="38"/>
      <c r="BK102" s="38"/>
      <c r="BL102" s="38"/>
      <c r="BM102" s="38"/>
      <c r="BN102" s="38"/>
      <c r="BO102" s="38"/>
    </row>
    <row r="103" spans="1:67" x14ac:dyDescent="0.2">
      <c r="A103" s="38"/>
      <c r="B103" s="69"/>
      <c r="C103" s="69"/>
      <c r="D103" s="69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7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69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</row>
  </sheetData>
  <sheetProtection algorithmName="SHA-512" hashValue="OmYM5z3FCCcqoahvMK0CnAgR6fxH+Gdm9+SNp/W7H7tqjUJs5a7yv4hJRrK9d+o7cdM25bS+KhyFPFu+sIT7Rw==" saltValue="8S2Z8PFDsJmmDw+sMrszwA==" spinCount="100000" sheet="1" selectLockedCells="1"/>
  <dataValidations count="4">
    <dataValidation type="decimal" allowBlank="1" showInputMessage="1" showErrorMessage="1" error="Minus-Zylinder eingeben_x000a_zwischen 0 und -10,00 dpt." sqref="E5" xr:uid="{8A566747-DD87-4673-8EA6-FFD8F4548406}">
      <formula1>-10</formula1>
      <formula2>0</formula2>
    </dataValidation>
    <dataValidation type="decimal" errorStyle="warning" allowBlank="1" showInputMessage="1" showErrorMessage="1" errorTitle="ungültig !!" sqref="E4" xr:uid="{077EAB7E-5CA0-4F34-81DD-76BAB9E7FAC2}">
      <formula1>-35</formula1>
      <formula2>35</formula2>
    </dataValidation>
    <dataValidation type="whole" allowBlank="1" showInputMessage="1" showErrorMessage="1" error="Achsen zwischen 0° und 180° eingeben._x000a_" sqref="E6" xr:uid="{2F3B8B8F-8CDC-44F4-976E-5EF174D73051}">
      <formula1>0</formula1>
      <formula2>180</formula2>
    </dataValidation>
    <dataValidation type="whole" allowBlank="1" showInputMessage="1" showErrorMessage="1" error="HSA zwischen 0 und 25 mm eingeben. " sqref="E7" xr:uid="{67E60857-6C3B-420B-A924-76E19270DBFF}">
      <formula1>0</formula1>
      <formula2>25</formula2>
    </dataValidation>
  </dataValidations>
  <hyperlinks>
    <hyperlink ref="F2:T2" r:id="rId1" display="Download neuste Version" xr:uid="{02FB55AE-77F0-4ADA-A142-8DD6D2A77D7D}"/>
    <hyperlink ref="E2:G2" r:id="rId2" display="Download neuste Version" xr:uid="{1C6833C3-F77D-4CEB-BFF6-839672DDC4C9}"/>
  </hyperlinks>
  <pageMargins left="0.70866141732283472" right="0.70866141732283472" top="0.59" bottom="0.55000000000000004" header="0.31496062992125984" footer="0.31496062992125984"/>
  <pageSetup paperSize="9" scale="115" orientation="portrait" r:id="rId3"/>
  <ignoredErrors>
    <ignoredError sqref="O12" formula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"/>
  <sheetViews>
    <sheetView showGridLines="0" showRowColHeaders="0" showWhiteSpace="0" zoomScale="180" zoomScaleNormal="180" zoomScaleSheetLayoutView="202" workbookViewId="0">
      <selection activeCell="C4" sqref="C4"/>
    </sheetView>
  </sheetViews>
  <sheetFormatPr baseColWidth="10" defaultColWidth="11.42578125" defaultRowHeight="12.75" x14ac:dyDescent="0.2"/>
  <cols>
    <col min="1" max="1" width="1.140625" style="275" customWidth="1"/>
    <col min="2" max="2" width="13.85546875" style="275" customWidth="1"/>
    <col min="3" max="3" width="7.5703125" style="275" customWidth="1"/>
    <col min="4" max="4" width="6.7109375" style="275" customWidth="1"/>
    <col min="5" max="5" width="7.42578125" style="275" customWidth="1"/>
    <col min="6" max="6" width="8.5703125" style="275" customWidth="1"/>
    <col min="7" max="7" width="8.85546875" style="275" customWidth="1"/>
    <col min="8" max="8" width="3" style="275" customWidth="1"/>
    <col min="9" max="9" width="5.5703125" style="275" customWidth="1"/>
    <col min="10" max="10" width="4.28515625" style="275" customWidth="1"/>
    <col min="11" max="11" width="3.140625" style="275" customWidth="1"/>
    <col min="12" max="12" width="1.42578125" style="275" customWidth="1"/>
    <col min="13" max="13" width="5" style="275" customWidth="1"/>
    <col min="14" max="14" width="1.42578125" style="275" customWidth="1"/>
    <col min="15" max="16" width="5" style="275" customWidth="1"/>
    <col min="17" max="17" width="6" style="275" customWidth="1"/>
    <col min="18" max="18" width="4.140625" style="275" customWidth="1"/>
    <col min="19" max="19" width="1.42578125" style="275" customWidth="1"/>
    <col min="20" max="16384" width="11.42578125" style="275"/>
  </cols>
  <sheetData>
    <row r="1" spans="1:19" ht="15" customHeight="1" x14ac:dyDescent="0.2">
      <c r="A1" s="544"/>
      <c r="B1" s="274" t="s">
        <v>269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545"/>
    </row>
    <row r="2" spans="1:19" ht="12" customHeight="1" x14ac:dyDescent="0.2">
      <c r="A2" s="544"/>
      <c r="S2" s="544"/>
    </row>
    <row r="3" spans="1:19" ht="17.25" customHeight="1" x14ac:dyDescent="0.2">
      <c r="A3" s="544"/>
      <c r="B3" s="276" t="s">
        <v>70</v>
      </c>
      <c r="C3" s="277"/>
      <c r="D3" s="278"/>
      <c r="E3" s="279" t="s">
        <v>109</v>
      </c>
      <c r="F3" s="280">
        <f>IF(C7="Ast. Rectus",C6,IF(C6&gt;90,C6-90,C6+90))</f>
        <v>160</v>
      </c>
      <c r="G3" s="280">
        <f>IF(F3&gt;90,F3-90,F3+90)</f>
        <v>70</v>
      </c>
      <c r="S3" s="544"/>
    </row>
    <row r="4" spans="1:19" ht="16.5" customHeight="1" x14ac:dyDescent="0.2">
      <c r="A4" s="544"/>
      <c r="B4" s="281" t="s">
        <v>32</v>
      </c>
      <c r="C4" s="203">
        <v>2.5</v>
      </c>
      <c r="D4" s="281" t="s">
        <v>37</v>
      </c>
      <c r="E4" s="282" t="s">
        <v>97</v>
      </c>
      <c r="F4" s="283">
        <f>IF(C7="Ast. Rectus",C4*-1,(C4+C5)*-1)</f>
        <v>-2.5</v>
      </c>
      <c r="G4" s="284">
        <f>IF(C7="Ast. Rectus",(C4+C5)*-1,C4*-1)</f>
        <v>0</v>
      </c>
      <c r="S4" s="544"/>
    </row>
    <row r="5" spans="1:19" ht="18" customHeight="1" x14ac:dyDescent="0.2">
      <c r="A5" s="544"/>
      <c r="B5" s="281" t="s">
        <v>69</v>
      </c>
      <c r="C5" s="204">
        <v>-2.5</v>
      </c>
      <c r="D5" s="281" t="s">
        <v>37</v>
      </c>
      <c r="E5" s="282" t="str">
        <f>"+S'TL"</f>
        <v>+S'TL</v>
      </c>
      <c r="F5" s="283">
        <f>(C9-C14)*5</f>
        <v>0.24999999999999911</v>
      </c>
      <c r="G5" s="287">
        <f>(C11-C14)*5</f>
        <v>-1.3500000000000023</v>
      </c>
      <c r="I5" s="553" t="s">
        <v>265</v>
      </c>
      <c r="J5" s="555">
        <f>C10</f>
        <v>160</v>
      </c>
      <c r="K5" s="558" t="s">
        <v>267</v>
      </c>
      <c r="L5" s="559" t="s">
        <v>95</v>
      </c>
      <c r="M5" s="560">
        <f>C9</f>
        <v>7.78</v>
      </c>
      <c r="N5" s="559" t="s">
        <v>233</v>
      </c>
      <c r="O5" s="560">
        <f>C14</f>
        <v>7.73</v>
      </c>
      <c r="P5" s="559" t="s">
        <v>268</v>
      </c>
      <c r="Q5" s="560">
        <f>F5</f>
        <v>0.24999999999999911</v>
      </c>
      <c r="R5" s="559" t="s">
        <v>37</v>
      </c>
      <c r="S5" s="544"/>
    </row>
    <row r="6" spans="1:19" ht="17.25" customHeight="1" x14ac:dyDescent="0.2">
      <c r="A6" s="544"/>
      <c r="B6" s="285" t="s">
        <v>6</v>
      </c>
      <c r="C6" s="205">
        <v>160</v>
      </c>
      <c r="D6" s="281" t="s">
        <v>4</v>
      </c>
      <c r="E6" s="282" t="str">
        <f>"+S'KL"</f>
        <v>+S'KL</v>
      </c>
      <c r="F6" s="286">
        <f>(F4+F5)*-1</f>
        <v>2.2500000000000009</v>
      </c>
      <c r="G6" s="287">
        <f>(G4+G5)*-1</f>
        <v>1.3500000000000023</v>
      </c>
      <c r="I6" s="553" t="s">
        <v>265</v>
      </c>
      <c r="J6" s="555">
        <f>IF(F3&gt;90,F3-90,F3+90)</f>
        <v>70</v>
      </c>
      <c r="K6" s="559" t="s">
        <v>267</v>
      </c>
      <c r="L6" s="559" t="s">
        <v>95</v>
      </c>
      <c r="M6" s="560">
        <f>C11</f>
        <v>7.46</v>
      </c>
      <c r="N6" s="559" t="s">
        <v>233</v>
      </c>
      <c r="O6" s="560">
        <f>C14</f>
        <v>7.73</v>
      </c>
      <c r="P6" s="559" t="s">
        <v>266</v>
      </c>
      <c r="Q6" s="560">
        <f>G5</f>
        <v>-1.3500000000000023</v>
      </c>
      <c r="R6" s="559" t="s">
        <v>37</v>
      </c>
      <c r="S6" s="544"/>
    </row>
    <row r="7" spans="1:19" ht="17.25" customHeight="1" thickBot="1" x14ac:dyDescent="0.25">
      <c r="A7" s="544"/>
      <c r="C7" s="561" t="str">
        <f>IF(C6&gt;45,IF(C6&lt;135,"Ast. Inversus","Ast. Rectus"),"Ast. Rectus")</f>
        <v>Ast. Rectus</v>
      </c>
      <c r="E7" s="288" t="str">
        <f>"=GRD"</f>
        <v>=GRD</v>
      </c>
      <c r="F7" s="289">
        <v>0</v>
      </c>
      <c r="G7" s="290">
        <v>0</v>
      </c>
      <c r="S7" s="544"/>
    </row>
    <row r="8" spans="1:19" x14ac:dyDescent="0.2">
      <c r="A8" s="544"/>
      <c r="B8" s="291" t="s">
        <v>131</v>
      </c>
      <c r="C8" s="292"/>
      <c r="D8" s="281"/>
      <c r="S8" s="544"/>
    </row>
    <row r="9" spans="1:19" x14ac:dyDescent="0.2">
      <c r="A9" s="544"/>
      <c r="B9" s="281" t="s">
        <v>5</v>
      </c>
      <c r="C9" s="203">
        <v>7.78</v>
      </c>
      <c r="D9" s="281" t="s">
        <v>1</v>
      </c>
      <c r="E9" s="293" t="s">
        <v>179</v>
      </c>
      <c r="F9" s="294"/>
      <c r="G9" s="294"/>
      <c r="H9" s="295"/>
      <c r="I9" s="296"/>
      <c r="S9" s="544"/>
    </row>
    <row r="10" spans="1:19" x14ac:dyDescent="0.2">
      <c r="A10" s="544"/>
      <c r="B10" s="281" t="s">
        <v>44</v>
      </c>
      <c r="C10" s="207">
        <v>160</v>
      </c>
      <c r="D10" s="281" t="s">
        <v>4</v>
      </c>
      <c r="E10" s="297" t="s">
        <v>180</v>
      </c>
      <c r="F10" s="298">
        <f>IF(F6&gt;G6,F6,G6)</f>
        <v>2.2500000000000009</v>
      </c>
      <c r="G10" s="294">
        <f>IF(F6&gt;G6,G6-F6,IF(F6&lt;G6,F6-G6,"0"))</f>
        <v>-0.89999999999999858</v>
      </c>
      <c r="H10" s="295" t="s">
        <v>98</v>
      </c>
      <c r="I10" s="299">
        <f>IF(F6&gt;G6,F3,G3)</f>
        <v>160</v>
      </c>
      <c r="J10" s="293" t="s">
        <v>4</v>
      </c>
      <c r="K10" s="293"/>
      <c r="L10" s="293"/>
      <c r="M10" s="293"/>
      <c r="N10" s="293"/>
      <c r="O10" s="293"/>
      <c r="P10" s="293"/>
      <c r="S10" s="544"/>
    </row>
    <row r="11" spans="1:19" x14ac:dyDescent="0.2">
      <c r="A11" s="544"/>
      <c r="B11" s="281" t="s">
        <v>7</v>
      </c>
      <c r="C11" s="208">
        <v>7.46</v>
      </c>
      <c r="D11" s="281" t="s">
        <v>1</v>
      </c>
      <c r="E11" s="300" t="s">
        <v>100</v>
      </c>
      <c r="M11" s="567" t="s">
        <v>270</v>
      </c>
      <c r="N11" s="567"/>
      <c r="O11" s="567"/>
      <c r="P11" s="567"/>
      <c r="Q11" s="567"/>
      <c r="R11" s="567"/>
      <c r="S11" s="544"/>
    </row>
    <row r="12" spans="1:19" x14ac:dyDescent="0.2">
      <c r="A12" s="544"/>
      <c r="B12" s="281"/>
      <c r="C12" s="301"/>
      <c r="D12" s="281"/>
      <c r="E12" s="297" t="s">
        <v>180</v>
      </c>
      <c r="F12" s="298">
        <f>IF(F10&lt;0,(MROUND(-F10,0.25))*-1,MROUND(F10,0.25))</f>
        <v>2.25</v>
      </c>
      <c r="G12" s="298">
        <f>IF(G10&lt;0,(MROUND(-G10,0.25))*-1,MROUND(G10,0.25))</f>
        <v>-1</v>
      </c>
      <c r="H12" s="295" t="s">
        <v>98</v>
      </c>
      <c r="I12" s="299">
        <f>I10</f>
        <v>160</v>
      </c>
      <c r="J12" s="293" t="s">
        <v>4</v>
      </c>
      <c r="K12" s="293"/>
      <c r="L12" s="293"/>
      <c r="M12" s="563" t="s">
        <v>264</v>
      </c>
      <c r="N12" s="564" t="s">
        <v>95</v>
      </c>
      <c r="O12" s="565">
        <f>J5</f>
        <v>160</v>
      </c>
      <c r="P12" s="564" t="s">
        <v>271</v>
      </c>
      <c r="Q12" s="566">
        <f>336*(1/C14-1/C9)</f>
        <v>0.27935097456908764</v>
      </c>
      <c r="R12" s="564" t="s">
        <v>37</v>
      </c>
      <c r="S12" s="544"/>
    </row>
    <row r="13" spans="1:19" x14ac:dyDescent="0.2">
      <c r="A13" s="544"/>
      <c r="B13" s="276" t="s">
        <v>181</v>
      </c>
      <c r="C13" s="292"/>
      <c r="D13" s="281"/>
      <c r="M13" s="563" t="s">
        <v>264</v>
      </c>
      <c r="N13" s="564" t="s">
        <v>95</v>
      </c>
      <c r="O13" s="565">
        <f>J6</f>
        <v>70</v>
      </c>
      <c r="P13" s="564" t="s">
        <v>271</v>
      </c>
      <c r="Q13" s="566">
        <f>336*(1/C14-1/C11)</f>
        <v>-1.5732028342622502</v>
      </c>
      <c r="R13" s="564" t="s">
        <v>37</v>
      </c>
      <c r="S13" s="544"/>
    </row>
    <row r="14" spans="1:19" x14ac:dyDescent="0.2">
      <c r="A14" s="544"/>
      <c r="B14" s="281" t="s">
        <v>89</v>
      </c>
      <c r="C14" s="267">
        <v>7.73</v>
      </c>
      <c r="D14" s="281" t="s">
        <v>1</v>
      </c>
      <c r="E14" s="302" t="s">
        <v>99</v>
      </c>
      <c r="F14" s="303">
        <f>F10+G10/2</f>
        <v>1.8000000000000016</v>
      </c>
      <c r="G14" s="304" t="s">
        <v>100</v>
      </c>
      <c r="H14" s="305"/>
      <c r="I14" s="303">
        <f>IF(F14&lt;0,MROUND(-F14,0.25)*(-1),MROUND(F14,0.25))</f>
        <v>1.75</v>
      </c>
      <c r="J14" s="306" t="s">
        <v>37</v>
      </c>
      <c r="K14" s="557"/>
      <c r="L14" s="557"/>
      <c r="M14" s="557"/>
      <c r="N14" s="557"/>
      <c r="O14" s="557"/>
      <c r="P14" s="557"/>
      <c r="S14" s="544"/>
    </row>
    <row r="15" spans="1:19" x14ac:dyDescent="0.2">
      <c r="A15" s="544"/>
      <c r="S15" s="544"/>
    </row>
    <row r="16" spans="1:19" ht="6.75" customHeight="1" x14ac:dyDescent="0.2">
      <c r="A16" s="544"/>
      <c r="B16" s="544"/>
      <c r="C16" s="544"/>
      <c r="D16" s="544"/>
      <c r="E16" s="544"/>
      <c r="F16" s="544"/>
      <c r="G16" s="544"/>
      <c r="H16" s="544"/>
      <c r="I16" s="544"/>
      <c r="J16" s="544"/>
      <c r="K16" s="544"/>
      <c r="L16" s="544"/>
      <c r="M16" s="544"/>
      <c r="N16" s="544"/>
      <c r="O16" s="544"/>
      <c r="P16" s="544"/>
      <c r="Q16" s="544"/>
      <c r="R16" s="544"/>
      <c r="S16" s="544"/>
    </row>
  </sheetData>
  <sheetProtection algorithmName="SHA-512" hashValue="EgW1J1cbY7Vt30C4VinI7g6dxseJkE3fW8V4GoBhiRHilb+YBxHBykf701Wo4UiOH8WUV4ZkoecA1rFAp7ux5Q==" saltValue="JG06omwLljEWG1a7vewHMw==" spinCount="100000" sheet="1" objects="1" scenarios="1" selectLockedCells="1"/>
  <dataValidations count="6">
    <dataValidation type="decimal" allowBlank="1" showInputMessage="1" showErrorMessage="1" error="Minus-Zylinder eingeben_x000a_zwischen 0 und -10,00 dpt." sqref="C5" xr:uid="{00000000-0002-0000-0200-000000000000}">
      <formula1>-10</formula1>
      <formula2>0</formula2>
    </dataValidation>
    <dataValidation type="decimal" errorStyle="warning" allowBlank="1" showInputMessage="1" showErrorMessage="1" errorTitle="ungültig !!" sqref="C4" xr:uid="{00000000-0002-0000-0200-000001000000}">
      <formula1>-35</formula1>
      <formula2>35</formula2>
    </dataValidation>
    <dataValidation type="whole" allowBlank="1" showInputMessage="1" showErrorMessage="1" error="Achsen zwischen 0° und 180° eingeben._x000a_" sqref="C6" xr:uid="{00000000-0002-0000-0200-000002000000}">
      <formula1>0</formula1>
      <formula2>180</formula2>
    </dataValidation>
    <dataValidation type="decimal" allowBlank="1" showInputMessage="1" showErrorMessage="1" error="Zentralradien zwischen 4 und 12 mm einegeben." sqref="C9 C11" xr:uid="{00000000-0002-0000-0200-000003000000}">
      <formula1>4</formula1>
      <formula2>12</formula2>
    </dataValidation>
    <dataValidation type="whole" allowBlank="1" showInputMessage="1" showErrorMessage="1" error="Horizontale Achseingabe zwischen 0° und 45° oder zwischen 135° und 180° eingeben." prompt="Achse des horizontalen Zentralradius eingeben._x000a_D.h. zwischen 0° und 45° oder 135° bis 180°._x000a__x000a_Achse darf nicht mehr als +/-20° von den HS-Richtungen der Refraktion abweichen. Wenn ja, dann ist das Ergebnis zu ungenau._x000a__x000a_" sqref="C10" xr:uid="{00000000-0002-0000-0200-000004000000}">
      <formula1>0</formula1>
      <formula2>180</formula2>
    </dataValidation>
    <dataValidation type="decimal" allowBlank="1" showInputMessage="1" showErrorMessage="1" error="Eingabe zwischen 6,0 und 10,0 mm erlaubt." sqref="C14" xr:uid="{00000000-0002-0000-0200-000005000000}">
      <formula1>6</formula1>
      <formula2>10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7"/>
  <sheetViews>
    <sheetView showGridLines="0" showRowColHeaders="0" zoomScale="180" zoomScaleNormal="180" workbookViewId="0">
      <selection activeCell="C4" sqref="C4"/>
    </sheetView>
  </sheetViews>
  <sheetFormatPr baseColWidth="10" defaultColWidth="11.42578125" defaultRowHeight="12.75" x14ac:dyDescent="0.2"/>
  <cols>
    <col min="1" max="1" width="1.28515625" style="241" customWidth="1"/>
    <col min="2" max="2" width="14.28515625" style="241" customWidth="1"/>
    <col min="3" max="3" width="8.28515625" style="241" customWidth="1"/>
    <col min="4" max="4" width="6.140625" style="241" customWidth="1"/>
    <col min="5" max="5" width="6.7109375" style="241" customWidth="1"/>
    <col min="6" max="6" width="7.42578125" style="241" customWidth="1"/>
    <col min="7" max="7" width="7.28515625" style="241" customWidth="1"/>
    <col min="8" max="8" width="2.85546875" style="241" customWidth="1"/>
    <col min="9" max="9" width="5.140625" style="241" customWidth="1"/>
    <col min="10" max="10" width="1.42578125" style="241" customWidth="1"/>
    <col min="11" max="11" width="4.42578125" style="241" customWidth="1"/>
    <col min="12" max="12" width="4.7109375" style="241" customWidth="1"/>
    <col min="13" max="13" width="1.42578125" style="241" customWidth="1"/>
    <col min="14" max="14" width="4.7109375" style="241" customWidth="1"/>
    <col min="15" max="15" width="1.42578125" style="241" customWidth="1"/>
    <col min="16" max="16" width="5.140625" style="241" customWidth="1"/>
    <col min="17" max="17" width="4.7109375" style="241" customWidth="1"/>
    <col min="18" max="18" width="6.42578125" style="241" customWidth="1"/>
    <col min="19" max="19" width="5.140625" style="241" customWidth="1"/>
    <col min="20" max="20" width="1.42578125" style="241" customWidth="1"/>
    <col min="21" max="16384" width="11.42578125" style="241"/>
  </cols>
  <sheetData>
    <row r="1" spans="1:20" ht="15" customHeight="1" x14ac:dyDescent="0.2">
      <c r="A1" s="546"/>
      <c r="B1" s="240" t="s">
        <v>275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546"/>
    </row>
    <row r="2" spans="1:20" ht="12" customHeight="1" x14ac:dyDescent="0.2">
      <c r="A2" s="546"/>
      <c r="T2" s="546"/>
    </row>
    <row r="3" spans="1:20" ht="17.25" customHeight="1" x14ac:dyDescent="0.2">
      <c r="A3" s="546"/>
      <c r="B3" s="242" t="s">
        <v>70</v>
      </c>
      <c r="C3" s="243"/>
      <c r="D3" s="244"/>
      <c r="E3" s="245" t="s">
        <v>109</v>
      </c>
      <c r="F3" s="246">
        <f>IF(C7="Ast. Rectus",C6,IF(C6&gt;90,C6-90,C6+90))</f>
        <v>180</v>
      </c>
      <c r="G3" s="247">
        <f>IF(F3&gt;90,F3-90,F3+90)</f>
        <v>90</v>
      </c>
      <c r="P3" s="562"/>
      <c r="Q3" s="562"/>
      <c r="R3" s="562"/>
      <c r="T3" s="546"/>
    </row>
    <row r="4" spans="1:20" ht="16.5" customHeight="1" x14ac:dyDescent="0.2">
      <c r="A4" s="546"/>
      <c r="B4" s="248" t="s">
        <v>32</v>
      </c>
      <c r="C4" s="203">
        <v>-2</v>
      </c>
      <c r="D4" s="248" t="s">
        <v>37</v>
      </c>
      <c r="E4" s="249" t="s">
        <v>97</v>
      </c>
      <c r="F4" s="250">
        <f>IF(C7="Ast. Rectus",C4*-1,(C4+C5)*-1)</f>
        <v>2.25</v>
      </c>
      <c r="G4" s="251">
        <f>IF(C7="Ast. Rectus",(C4+C5)*-1,C4*-1)</f>
        <v>2</v>
      </c>
      <c r="P4" s="562"/>
      <c r="Q4" s="562"/>
      <c r="R4" s="562"/>
      <c r="T4" s="546"/>
    </row>
    <row r="5" spans="1:20" ht="18" customHeight="1" x14ac:dyDescent="0.2">
      <c r="A5" s="546"/>
      <c r="B5" s="248" t="s">
        <v>69</v>
      </c>
      <c r="C5" s="204">
        <v>-0.25</v>
      </c>
      <c r="D5" s="248" t="s">
        <v>37</v>
      </c>
      <c r="E5" s="249" t="str">
        <f>"+S'TL"</f>
        <v>+S'TL</v>
      </c>
      <c r="F5" s="250">
        <f>(C9-C14)*5</f>
        <v>0.40000000000000036</v>
      </c>
      <c r="G5" s="254">
        <f>(C11-C14)*5</f>
        <v>-0.6999999999999984</v>
      </c>
      <c r="I5" s="553" t="s">
        <v>264</v>
      </c>
      <c r="J5" s="554" t="s">
        <v>95</v>
      </c>
      <c r="K5" s="555">
        <f>C10</f>
        <v>0</v>
      </c>
      <c r="L5" s="554" t="s">
        <v>272</v>
      </c>
      <c r="M5" s="556" t="s">
        <v>95</v>
      </c>
      <c r="N5" s="554">
        <f>C9</f>
        <v>7.88</v>
      </c>
      <c r="O5" s="554" t="s">
        <v>233</v>
      </c>
      <c r="P5" s="554">
        <f>C14</f>
        <v>7.8</v>
      </c>
      <c r="Q5" s="554" t="s">
        <v>274</v>
      </c>
      <c r="R5" s="554">
        <f>F5</f>
        <v>0.40000000000000036</v>
      </c>
      <c r="S5" s="554" t="s">
        <v>37</v>
      </c>
      <c r="T5" s="546"/>
    </row>
    <row r="6" spans="1:20" ht="17.25" customHeight="1" x14ac:dyDescent="0.2">
      <c r="A6" s="546"/>
      <c r="B6" s="252" t="s">
        <v>6</v>
      </c>
      <c r="C6" s="205">
        <v>90</v>
      </c>
      <c r="D6" s="248" t="s">
        <v>4</v>
      </c>
      <c r="E6" s="249" t="str">
        <f>"+S'KL"</f>
        <v>+S'KL</v>
      </c>
      <c r="F6" s="253">
        <f>C15</f>
        <v>-3</v>
      </c>
      <c r="G6" s="254">
        <f>C15</f>
        <v>-3</v>
      </c>
      <c r="I6" s="553" t="s">
        <v>264</v>
      </c>
      <c r="J6" s="554" t="s">
        <v>95</v>
      </c>
      <c r="K6" s="555">
        <f>IF(F3&gt;90,F3-90,F3+90)</f>
        <v>90</v>
      </c>
      <c r="L6" s="554" t="s">
        <v>273</v>
      </c>
      <c r="M6" s="556" t="s">
        <v>95</v>
      </c>
      <c r="N6" s="554">
        <f>C11</f>
        <v>7.66</v>
      </c>
      <c r="O6" s="554" t="s">
        <v>233</v>
      </c>
      <c r="P6" s="554">
        <f>C14</f>
        <v>7.8</v>
      </c>
      <c r="Q6" s="554" t="s">
        <v>274</v>
      </c>
      <c r="R6" s="554">
        <f>G5</f>
        <v>-0.6999999999999984</v>
      </c>
      <c r="S6" s="554" t="s">
        <v>37</v>
      </c>
      <c r="T6" s="546"/>
    </row>
    <row r="7" spans="1:20" ht="17.25" customHeight="1" thickBot="1" x14ac:dyDescent="0.25">
      <c r="A7" s="546"/>
      <c r="C7" s="552" t="str">
        <f>IF(C6&gt;45,IF(C6&lt;135,"Ast. Inversus","Ast. Rectus"),"Ast. Rectus")</f>
        <v>Ast. Inversus</v>
      </c>
      <c r="E7" s="255" t="str">
        <f>"=GRD"</f>
        <v>=GRD</v>
      </c>
      <c r="F7" s="268">
        <f>SUM(F4:F6)</f>
        <v>-0.34999999999999964</v>
      </c>
      <c r="G7" s="268">
        <f>SUM(G4:G6)</f>
        <v>-1.6999999999999984</v>
      </c>
      <c r="I7" s="265"/>
      <c r="N7" s="265"/>
      <c r="P7" s="265"/>
      <c r="Q7" s="265"/>
      <c r="T7" s="546"/>
    </row>
    <row r="8" spans="1:20" x14ac:dyDescent="0.2">
      <c r="A8" s="546"/>
      <c r="B8" s="256" t="s">
        <v>131</v>
      </c>
      <c r="C8" s="257"/>
      <c r="D8" s="248"/>
      <c r="T8" s="546"/>
    </row>
    <row r="9" spans="1:20" x14ac:dyDescent="0.2">
      <c r="A9" s="546"/>
      <c r="B9" s="248" t="s">
        <v>5</v>
      </c>
      <c r="C9" s="203">
        <v>7.88</v>
      </c>
      <c r="D9" s="248" t="s">
        <v>1</v>
      </c>
      <c r="E9" s="261" t="s">
        <v>183</v>
      </c>
      <c r="F9" s="258">
        <f>IF(G7&lt;F7,G7,F7)</f>
        <v>-1.6999999999999984</v>
      </c>
      <c r="G9" s="258">
        <f>ABS(F7-G7)</f>
        <v>1.3499999999999988</v>
      </c>
      <c r="H9" s="259" t="str">
        <f>IF(G9=0,"","A")</f>
        <v>A</v>
      </c>
      <c r="I9" s="260">
        <f>IF(G7&lt;F7,G3,F3)</f>
        <v>90</v>
      </c>
      <c r="J9" s="264" t="s">
        <v>4</v>
      </c>
      <c r="T9" s="546"/>
    </row>
    <row r="10" spans="1:20" x14ac:dyDescent="0.2">
      <c r="A10" s="546"/>
      <c r="B10" s="248" t="s">
        <v>44</v>
      </c>
      <c r="C10" s="207">
        <v>0</v>
      </c>
      <c r="D10" s="248" t="s">
        <v>4</v>
      </c>
      <c r="E10" s="261" t="s">
        <v>184</v>
      </c>
      <c r="F10" s="262">
        <f>F9*-1</f>
        <v>1.6999999999999984</v>
      </c>
      <c r="G10" s="262">
        <f>G9*-1</f>
        <v>-1.3499999999999988</v>
      </c>
      <c r="H10" s="259" t="s">
        <v>98</v>
      </c>
      <c r="I10" s="263">
        <f>I9</f>
        <v>90</v>
      </c>
      <c r="J10" s="264" t="s">
        <v>4</v>
      </c>
      <c r="T10" s="546"/>
    </row>
    <row r="11" spans="1:20" x14ac:dyDescent="0.2">
      <c r="A11" s="546"/>
      <c r="B11" s="248" t="s">
        <v>7</v>
      </c>
      <c r="C11" s="208">
        <v>7.66</v>
      </c>
      <c r="D11" s="248" t="s">
        <v>1</v>
      </c>
      <c r="T11" s="546"/>
    </row>
    <row r="12" spans="1:20" x14ac:dyDescent="0.2">
      <c r="A12" s="546"/>
      <c r="B12" s="248"/>
      <c r="C12" s="265"/>
      <c r="D12" s="248"/>
      <c r="E12" s="266" t="s">
        <v>100</v>
      </c>
      <c r="T12" s="546"/>
    </row>
    <row r="13" spans="1:20" x14ac:dyDescent="0.2">
      <c r="A13" s="546"/>
      <c r="B13" s="242" t="s">
        <v>181</v>
      </c>
      <c r="C13" s="257"/>
      <c r="D13" s="248"/>
      <c r="E13" s="269" t="s">
        <v>184</v>
      </c>
      <c r="F13" s="270">
        <f>IF(F10&lt;0,(MROUND(-F10,0.25))*-1,MROUND(F10,0.25))</f>
        <v>1.75</v>
      </c>
      <c r="G13" s="270">
        <f>IF(G10&lt;0,(MROUND(-G10,0.25))*-1,MROUND(G10,0.25))</f>
        <v>-1.25</v>
      </c>
      <c r="H13" s="271" t="s">
        <v>98</v>
      </c>
      <c r="I13" s="272">
        <f>I10</f>
        <v>90</v>
      </c>
      <c r="J13" s="273" t="s">
        <v>4</v>
      </c>
      <c r="N13" s="567" t="s">
        <v>270</v>
      </c>
      <c r="O13" s="567"/>
      <c r="P13" s="567"/>
      <c r="Q13" s="567"/>
      <c r="R13" s="567"/>
      <c r="S13" s="567"/>
      <c r="T13" s="546"/>
    </row>
    <row r="14" spans="1:20" x14ac:dyDescent="0.2">
      <c r="A14" s="546"/>
      <c r="B14" s="248" t="s">
        <v>89</v>
      </c>
      <c r="C14" s="267">
        <v>7.8</v>
      </c>
      <c r="D14" s="248" t="s">
        <v>1</v>
      </c>
      <c r="N14" s="563" t="s">
        <v>264</v>
      </c>
      <c r="O14" s="564" t="s">
        <v>95</v>
      </c>
      <c r="P14" s="565">
        <f>K5</f>
        <v>0</v>
      </c>
      <c r="Q14" s="564" t="s">
        <v>271</v>
      </c>
      <c r="R14" s="566">
        <f>336*(1/C14-1/C9)</f>
        <v>0.43732916829364354</v>
      </c>
      <c r="S14" s="564" t="s">
        <v>37</v>
      </c>
      <c r="T14" s="546"/>
    </row>
    <row r="15" spans="1:20" x14ac:dyDescent="0.2">
      <c r="A15" s="546"/>
      <c r="B15" s="248" t="s">
        <v>182</v>
      </c>
      <c r="C15" s="267">
        <v>-3</v>
      </c>
      <c r="D15" s="248" t="s">
        <v>37</v>
      </c>
      <c r="N15" s="563" t="s">
        <v>264</v>
      </c>
      <c r="O15" s="564" t="s">
        <v>95</v>
      </c>
      <c r="P15" s="565">
        <f>K6</f>
        <v>90</v>
      </c>
      <c r="Q15" s="564" t="s">
        <v>271</v>
      </c>
      <c r="R15" s="566">
        <f>336*(1/C14-1/C11)</f>
        <v>-0.78730668808996773</v>
      </c>
      <c r="S15" s="564" t="s">
        <v>37</v>
      </c>
      <c r="T15" s="546"/>
    </row>
    <row r="16" spans="1:20" x14ac:dyDescent="0.2">
      <c r="A16" s="546"/>
      <c r="T16" s="546"/>
    </row>
    <row r="17" spans="1:20" ht="7.5" customHeight="1" x14ac:dyDescent="0.2">
      <c r="A17" s="546"/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</row>
  </sheetData>
  <sheetProtection algorithmName="SHA-512" hashValue="Or+mKkBmT46gAe85JJR2CoTE1gMKWdfc2XAdbQTmcjR/jTT8485fmrNbGmrwSfxwCEDTFmEUX/GuUaANGVWuKg==" saltValue="Mnrok1E5gG1CrUGCpiq2Eg==" spinCount="100000" sheet="1" objects="1" scenarios="1" selectLockedCells="1"/>
  <dataValidations count="6">
    <dataValidation type="decimal" allowBlank="1" showInputMessage="1" showErrorMessage="1" error="Eingabe zwischen 6,0 und 10,0 mm erlaubt." sqref="C14" xr:uid="{00000000-0002-0000-0300-000000000000}">
      <formula1>6</formula1>
      <formula2>10</formula2>
    </dataValidation>
    <dataValidation type="whole" allowBlank="1" showInputMessage="1" showErrorMessage="1" error="Horizontale Achseingabe zwischen 0° und 45° oder zwischen 135° und 180° eingeben." prompt="Achse des horizontalen Zentralradius eingeben._x000a_D.h. zwischen 0° und 45° oder 135° bis 180°._x000a__x000a_Achse darf nicht mehr als +/-20° von den HS-Richtungen der Refraktion abweichen. Wenn ja, dann ist das Ergebnis zu ungenau." sqref="C10" xr:uid="{00000000-0002-0000-0300-000001000000}">
      <formula1>0</formula1>
      <formula2>180</formula2>
    </dataValidation>
    <dataValidation type="decimal" allowBlank="1" showInputMessage="1" showErrorMessage="1" error="Zentralradien zwischen 4 und 12 mm einegeben." sqref="C9 C11" xr:uid="{00000000-0002-0000-0300-000002000000}">
      <formula1>4</formula1>
      <formula2>12</formula2>
    </dataValidation>
    <dataValidation type="whole" allowBlank="1" showInputMessage="1" showErrorMessage="1" error="Achsen zwischen 0° und 180° eingeben._x000a_" sqref="C6" xr:uid="{00000000-0002-0000-0300-000003000000}">
      <formula1>0</formula1>
      <formula2>180</formula2>
    </dataValidation>
    <dataValidation type="decimal" errorStyle="warning" allowBlank="1" showInputMessage="1" showErrorMessage="1" errorTitle="ungültig !!" sqref="C4 C15" xr:uid="{00000000-0002-0000-0300-000004000000}">
      <formula1>-35</formula1>
      <formula2>35</formula2>
    </dataValidation>
    <dataValidation type="decimal" allowBlank="1" showInputMessage="1" showErrorMessage="1" error="Minus-Zylinder eingeben_x000a_zwischen 0 und -10,00 dpt." sqref="C5" xr:uid="{00000000-0002-0000-0300-000005000000}">
      <formula1>-10</formula1>
      <formula2>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R23"/>
  <sheetViews>
    <sheetView showGridLines="0" showRowColHeaders="0" zoomScale="140" zoomScaleNormal="140" workbookViewId="0">
      <selection activeCell="D4" sqref="D4"/>
    </sheetView>
  </sheetViews>
  <sheetFormatPr baseColWidth="10" defaultColWidth="11.42578125" defaultRowHeight="12.75" x14ac:dyDescent="0.2"/>
  <cols>
    <col min="1" max="1" width="3.85546875" style="8" customWidth="1"/>
    <col min="2" max="2" width="25.28515625" style="11" customWidth="1"/>
    <col min="3" max="3" width="3.85546875" style="8" customWidth="1"/>
    <col min="4" max="4" width="8" style="8" customWidth="1"/>
    <col min="5" max="5" width="7.5703125" style="8" customWidth="1"/>
    <col min="6" max="6" width="5" style="8" customWidth="1"/>
    <col min="7" max="7" width="4.42578125" style="8" customWidth="1"/>
    <col min="8" max="8" width="7.140625" style="8" customWidth="1"/>
    <col min="9" max="9" width="4.140625" style="8" customWidth="1"/>
    <col min="10" max="10" width="5.140625" style="8" customWidth="1"/>
    <col min="11" max="11" width="4.85546875" style="8" customWidth="1"/>
    <col min="12" max="12" width="8.42578125" style="8" customWidth="1"/>
    <col min="13" max="13" width="7.28515625" style="8" customWidth="1"/>
    <col min="14" max="14" width="3.140625" style="8" customWidth="1"/>
    <col min="15" max="16" width="11.42578125" style="8"/>
    <col min="17" max="17" width="3.28515625" style="8" customWidth="1"/>
    <col min="18" max="16384" width="11.42578125" style="8"/>
  </cols>
  <sheetData>
    <row r="1" spans="1:18" ht="16.5" customHeight="1" x14ac:dyDescent="0.2">
      <c r="A1" s="547"/>
      <c r="B1" s="27" t="s">
        <v>108</v>
      </c>
      <c r="C1" s="22"/>
      <c r="D1" s="23"/>
      <c r="E1" s="23"/>
      <c r="F1" s="24"/>
      <c r="G1" s="24"/>
      <c r="H1" s="24"/>
      <c r="I1" s="24"/>
      <c r="J1" s="24"/>
      <c r="K1" s="25"/>
      <c r="L1" s="26"/>
      <c r="M1" s="21"/>
      <c r="N1" s="21"/>
      <c r="O1" s="21"/>
      <c r="P1" s="21"/>
      <c r="Q1" s="547"/>
    </row>
    <row r="2" spans="1:18" x14ac:dyDescent="0.2">
      <c r="A2" s="547"/>
      <c r="B2" s="2"/>
      <c r="C2" s="2"/>
      <c r="D2" s="3"/>
      <c r="E2" s="3"/>
      <c r="F2" s="4"/>
      <c r="G2" s="4"/>
      <c r="H2" s="4"/>
      <c r="I2" s="4"/>
      <c r="J2" s="5"/>
      <c r="K2" s="6"/>
      <c r="Q2" s="547"/>
    </row>
    <row r="3" spans="1:18" x14ac:dyDescent="0.2">
      <c r="A3" s="547"/>
      <c r="B3" s="17" t="s">
        <v>70</v>
      </c>
      <c r="E3" s="3"/>
      <c r="F3" s="4"/>
      <c r="G3" s="4"/>
      <c r="H3" s="4"/>
      <c r="I3" s="4"/>
      <c r="L3" s="17" t="s">
        <v>102</v>
      </c>
      <c r="Q3" s="547"/>
    </row>
    <row r="4" spans="1:18" x14ac:dyDescent="0.2">
      <c r="A4" s="547"/>
      <c r="B4" s="15" t="s">
        <v>50</v>
      </c>
      <c r="C4" s="2"/>
      <c r="D4" s="10">
        <v>-2</v>
      </c>
      <c r="E4" s="12" t="s">
        <v>37</v>
      </c>
      <c r="F4" s="4"/>
      <c r="G4" s="4"/>
      <c r="H4" s="4"/>
      <c r="I4" s="4"/>
      <c r="L4" s="15" t="s">
        <v>50</v>
      </c>
      <c r="M4" s="29">
        <f>ROUND(D4/(1-(D7/1000)*D4),2)</f>
        <v>-2</v>
      </c>
      <c r="N4" s="12" t="s">
        <v>37</v>
      </c>
      <c r="Q4" s="547"/>
    </row>
    <row r="5" spans="1:18" x14ac:dyDescent="0.2">
      <c r="A5" s="547"/>
      <c r="B5" s="15" t="s">
        <v>42</v>
      </c>
      <c r="C5" s="2"/>
      <c r="D5" s="10">
        <v>-1</v>
      </c>
      <c r="E5" s="12" t="s">
        <v>37</v>
      </c>
      <c r="F5" s="4"/>
      <c r="G5" s="4"/>
      <c r="H5" s="4"/>
      <c r="I5" s="4"/>
      <c r="L5" s="15" t="s">
        <v>42</v>
      </c>
      <c r="M5" s="29">
        <f>ROUND((D4+D5)/(1-(D7/1000)*(D4+D5)),2)-M4</f>
        <v>-1</v>
      </c>
      <c r="N5" s="12" t="s">
        <v>37</v>
      </c>
      <c r="Q5" s="547"/>
    </row>
    <row r="6" spans="1:18" x14ac:dyDescent="0.2">
      <c r="A6" s="547"/>
      <c r="B6" s="15" t="s">
        <v>98</v>
      </c>
      <c r="C6" s="2"/>
      <c r="D6" s="9">
        <v>160</v>
      </c>
      <c r="E6" s="14" t="s">
        <v>4</v>
      </c>
      <c r="L6" s="15" t="s">
        <v>98</v>
      </c>
      <c r="M6" s="28">
        <f>D6</f>
        <v>160</v>
      </c>
      <c r="N6" s="14" t="s">
        <v>4</v>
      </c>
      <c r="Q6" s="547"/>
    </row>
    <row r="7" spans="1:18" x14ac:dyDescent="0.2">
      <c r="A7" s="547"/>
      <c r="B7" s="15" t="s">
        <v>40</v>
      </c>
      <c r="D7" s="9">
        <v>0</v>
      </c>
      <c r="L7" s="15" t="s">
        <v>40</v>
      </c>
      <c r="M7" s="28">
        <v>0</v>
      </c>
      <c r="N7" s="12" t="s">
        <v>1</v>
      </c>
      <c r="Q7" s="547"/>
    </row>
    <row r="8" spans="1:18" x14ac:dyDescent="0.2">
      <c r="A8" s="547"/>
      <c r="B8" s="13" t="s">
        <v>105</v>
      </c>
      <c r="L8" s="17" t="str">
        <f>IF(D10=0,"individuell torische Weichlinse","standardtorische Weichlinse")</f>
        <v>individuell torische Weichlinse</v>
      </c>
      <c r="M8" s="28"/>
      <c r="P8" s="4"/>
      <c r="Q8" s="549"/>
      <c r="R8" s="6"/>
    </row>
    <row r="9" spans="1:18" x14ac:dyDescent="0.2">
      <c r="A9" s="547"/>
      <c r="B9" s="15" t="s">
        <v>50</v>
      </c>
      <c r="D9" s="10">
        <v>-2</v>
      </c>
      <c r="E9" s="12" t="s">
        <v>37</v>
      </c>
      <c r="L9" s="15" t="s">
        <v>50</v>
      </c>
      <c r="M9" s="29">
        <f>IF(D9+M13&gt;=0,MROUND(D9+M13,0.25),MROUND((D9+M13)*-1,0.25)*-1)</f>
        <v>-5.75</v>
      </c>
      <c r="N9" s="12" t="s">
        <v>37</v>
      </c>
      <c r="P9" s="4"/>
      <c r="Q9" s="549"/>
      <c r="R9" s="6"/>
    </row>
    <row r="10" spans="1:18" x14ac:dyDescent="0.2">
      <c r="A10" s="547"/>
      <c r="B10" s="15" t="s">
        <v>42</v>
      </c>
      <c r="D10" s="10">
        <v>0</v>
      </c>
      <c r="E10" s="12" t="s">
        <v>37</v>
      </c>
      <c r="L10" s="15" t="s">
        <v>42</v>
      </c>
      <c r="M10" s="29">
        <f>IF(D10&lt;&gt;0,D10,IF(M14&gt;=0,MROUND(M14,0.25),MROUND(M14*-1,0.25)*-1))</f>
        <v>-2.25</v>
      </c>
      <c r="N10" s="12" t="s">
        <v>37</v>
      </c>
      <c r="P10" s="4"/>
      <c r="Q10" s="549"/>
      <c r="R10" s="6"/>
    </row>
    <row r="11" spans="1:18" x14ac:dyDescent="0.2">
      <c r="A11" s="547"/>
      <c r="B11" s="15" t="s">
        <v>98</v>
      </c>
      <c r="D11" s="9">
        <v>0</v>
      </c>
      <c r="E11" s="14" t="s">
        <v>4</v>
      </c>
      <c r="L11" s="15" t="s">
        <v>98</v>
      </c>
      <c r="M11" s="28">
        <f>IF(D10&lt;&gt;0,IF(D6+C18&gt;=0,MROUND(D6+C18,10),MROUND(D6+C18+180,10)),IF(D15+C18&gt;=0,D15+C18,D15+C18+180))</f>
        <v>40</v>
      </c>
      <c r="N11" s="14" t="s">
        <v>4</v>
      </c>
      <c r="O11" s="19" t="str">
        <f>IF(D10=0,IF(C18&gt;0,"(ÜR-Achse + Inklination)","(ÜR-Achse - Inklination)"),IF(C18&gt;0,"(Refra-Achse + Inklination)","(Refra-Achse - Inklination)"))</f>
        <v>(ÜR-Achse + Inklination)</v>
      </c>
      <c r="P11" s="4"/>
      <c r="Q11" s="549"/>
      <c r="R11" s="6"/>
    </row>
    <row r="12" spans="1:18" x14ac:dyDescent="0.2">
      <c r="A12" s="547"/>
      <c r="B12" s="13" t="s">
        <v>106</v>
      </c>
      <c r="C12" s="7"/>
      <c r="E12" s="12"/>
      <c r="F12" s="4"/>
      <c r="G12" s="4"/>
      <c r="H12" s="4"/>
      <c r="I12" s="4"/>
      <c r="L12" s="17" t="s">
        <v>107</v>
      </c>
      <c r="M12" s="30"/>
      <c r="N12" s="2"/>
      <c r="Q12" s="547"/>
    </row>
    <row r="13" spans="1:18" x14ac:dyDescent="0.2">
      <c r="A13" s="547"/>
      <c r="B13" s="15" t="s">
        <v>50</v>
      </c>
      <c r="D13" s="10">
        <v>-4</v>
      </c>
      <c r="E13" s="12" t="s">
        <v>37</v>
      </c>
      <c r="L13" s="15" t="s">
        <v>50</v>
      </c>
      <c r="M13" s="29">
        <f>ROUND(D13/(1-(D16/1000)*D13),2)</f>
        <v>-3.79</v>
      </c>
      <c r="N13" s="12" t="s">
        <v>37</v>
      </c>
      <c r="Q13" s="547"/>
    </row>
    <row r="14" spans="1:18" x14ac:dyDescent="0.2">
      <c r="A14" s="547"/>
      <c r="B14" s="15" t="s">
        <v>42</v>
      </c>
      <c r="C14" s="7"/>
      <c r="D14" s="10">
        <v>-2.5</v>
      </c>
      <c r="E14" s="12" t="s">
        <v>37</v>
      </c>
      <c r="F14" s="18" t="str">
        <f>IF(D10&lt;&gt;0,IF(D14&lt;&gt;0,"&lt;- Zylinder  muss 0 sein ",""),"")</f>
        <v/>
      </c>
      <c r="G14" s="18"/>
      <c r="H14" s="18"/>
      <c r="I14" s="18"/>
      <c r="L14" s="15" t="s">
        <v>42</v>
      </c>
      <c r="M14" s="29">
        <f>ROUND((D13+D14)/(1-(D16/1000)*(D13+D14)),2)-M13</f>
        <v>-2.17</v>
      </c>
      <c r="N14" s="12" t="s">
        <v>37</v>
      </c>
      <c r="Q14" s="547"/>
    </row>
    <row r="15" spans="1:18" x14ac:dyDescent="0.2">
      <c r="A15" s="547"/>
      <c r="B15" s="15" t="s">
        <v>98</v>
      </c>
      <c r="D15" s="9">
        <v>20</v>
      </c>
      <c r="E15" s="12" t="s">
        <v>4</v>
      </c>
      <c r="F15" s="18" t="str">
        <f>IF(D10&lt;&gt;0,IF(D15&lt;&gt;0,"&lt;- Achse  muss 0 sein",""),"")</f>
        <v/>
      </c>
      <c r="G15" s="18"/>
      <c r="H15" s="18"/>
      <c r="I15" s="18"/>
      <c r="L15" s="15" t="s">
        <v>98</v>
      </c>
      <c r="M15" s="28">
        <f>D15</f>
        <v>20</v>
      </c>
      <c r="N15" s="14" t="s">
        <v>4</v>
      </c>
      <c r="Q15" s="547"/>
    </row>
    <row r="16" spans="1:18" x14ac:dyDescent="0.2">
      <c r="A16" s="547"/>
      <c r="B16" s="15" t="s">
        <v>40</v>
      </c>
      <c r="D16" s="9">
        <v>14</v>
      </c>
      <c r="E16" s="12" t="s">
        <v>1</v>
      </c>
      <c r="Q16" s="547"/>
    </row>
    <row r="17" spans="1:17" x14ac:dyDescent="0.2">
      <c r="A17" s="547"/>
      <c r="B17" s="7"/>
      <c r="E17" s="12"/>
      <c r="Q17" s="547"/>
    </row>
    <row r="18" spans="1:17" x14ac:dyDescent="0.2">
      <c r="A18" s="547"/>
      <c r="B18" s="13" t="s">
        <v>103</v>
      </c>
      <c r="C18" s="20">
        <f>IF(D18&gt;220,270-D18,IF(D18&lt;90,0-D18,180-D18))</f>
        <v>20</v>
      </c>
      <c r="D18" s="9">
        <v>160</v>
      </c>
      <c r="E18" s="12" t="s">
        <v>4</v>
      </c>
      <c r="H18" s="13" t="s">
        <v>104</v>
      </c>
      <c r="I18" s="16">
        <f>IF(C18&gt;=0,C18,C18*-1)</f>
        <v>20</v>
      </c>
      <c r="J18" s="8" t="str">
        <f>IF(C18&lt;0,"° gegen Uhrzeigersinn -&gt; Inklination subtrahieren","° im Uhrzeigersinn -&gt; Inklination addieren")</f>
        <v>° im Uhrzeigersinn -&gt; Inklination addieren</v>
      </c>
      <c r="Q18" s="547"/>
    </row>
    <row r="19" spans="1:17" x14ac:dyDescent="0.2">
      <c r="A19" s="547"/>
      <c r="B19" s="8"/>
      <c r="Q19" s="547"/>
    </row>
    <row r="20" spans="1:17" ht="13.5" thickBot="1" x14ac:dyDescent="0.25">
      <c r="A20" s="547"/>
      <c r="Q20" s="547"/>
    </row>
    <row r="21" spans="1:17" ht="13.5" thickBot="1" x14ac:dyDescent="0.25">
      <c r="A21" s="547"/>
      <c r="B21" s="32"/>
      <c r="C21" s="33" t="str">
        <f>L8</f>
        <v>individuell torische Weichlinse</v>
      </c>
      <c r="D21" s="34" t="s">
        <v>110</v>
      </c>
      <c r="E21" s="35">
        <f>M9</f>
        <v>-5.75</v>
      </c>
      <c r="F21" s="34" t="s">
        <v>37</v>
      </c>
      <c r="G21" s="34" t="s">
        <v>42</v>
      </c>
      <c r="H21" s="36">
        <f>M10</f>
        <v>-2.25</v>
      </c>
      <c r="I21" s="33" t="s">
        <v>98</v>
      </c>
      <c r="J21" s="34">
        <f>M11</f>
        <v>40</v>
      </c>
      <c r="K21" s="37" t="s">
        <v>4</v>
      </c>
      <c r="L21" s="19" t="str">
        <f>IF(D10=0,IF(C18&gt;0,"(ÜR-Achse + Inklination)","(ÜR-Achse - Inklination)"),IF(C18&gt;0,"(Refra-Achse + Inklination)","(Refra-Achse - Inklination)"))</f>
        <v>(ÜR-Achse + Inklination)</v>
      </c>
      <c r="Q21" s="547"/>
    </row>
    <row r="22" spans="1:17" x14ac:dyDescent="0.2">
      <c r="A22" s="547"/>
      <c r="Q22" s="547"/>
    </row>
    <row r="23" spans="1:17" x14ac:dyDescent="0.2">
      <c r="A23" s="547"/>
      <c r="B23" s="548"/>
      <c r="C23" s="547"/>
      <c r="D23" s="547"/>
      <c r="E23" s="547"/>
      <c r="F23" s="547"/>
      <c r="G23" s="547"/>
      <c r="H23" s="547"/>
      <c r="I23" s="547"/>
      <c r="J23" s="547"/>
      <c r="K23" s="547"/>
      <c r="L23" s="547"/>
      <c r="M23" s="547"/>
      <c r="N23" s="547"/>
      <c r="O23" s="547"/>
      <c r="P23" s="547"/>
      <c r="Q23" s="547"/>
    </row>
  </sheetData>
  <sheetProtection algorithmName="SHA-512" hashValue="+SqTMNts7CwOKJQFRk6IKChay3UHvMgqsdoxhQKi0ywo3YUMDNkjoS03wUZZU3m++Sb6uxziuAg0UHTo7w2YYA==" saltValue="jg+KWs/2e0IkBrh6a0z3QQ==" spinCount="100000" sheet="1" objects="1" scenarios="1" selectLockedCells="1"/>
  <dataConsolidate/>
  <dataValidations count="2">
    <dataValidation errorStyle="warning" allowBlank="1" showInputMessage="1" showErrorMessage="1" promptTitle="Erlaubte Gradzahlen" prompt="zwischen 150° und 30°_x000a_und 240° und 300°" sqref="D18" xr:uid="{00000000-0002-0000-0400-000000000000}"/>
    <dataValidation operator="equal" allowBlank="1" showInputMessage="1" showErrorMessage="1" errorTitle="Standardtorische Messlinse" error="keine Zylindereingabe bei der Überrefraktion erlaubt._x000a_Bitte 0 dpt eintragen._x000a_" sqref="D14" xr:uid="{00000000-0002-0000-0400-000001000000}"/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R26"/>
  <sheetViews>
    <sheetView showRowColHeaders="0" zoomScale="200" zoomScaleNormal="200" workbookViewId="0">
      <selection activeCell="D4" sqref="D4"/>
    </sheetView>
  </sheetViews>
  <sheetFormatPr baseColWidth="10" defaultColWidth="11.42578125" defaultRowHeight="12.75" x14ac:dyDescent="0.2"/>
  <cols>
    <col min="1" max="1" width="4.42578125" style="8" customWidth="1"/>
    <col min="2" max="2" width="22.85546875" style="11" customWidth="1"/>
    <col min="3" max="3" width="3.85546875" style="8" customWidth="1"/>
    <col min="4" max="4" width="8" style="8" customWidth="1"/>
    <col min="5" max="5" width="7.5703125" style="8" customWidth="1"/>
    <col min="6" max="6" width="5" style="8" customWidth="1"/>
    <col min="7" max="7" width="4.42578125" style="8" customWidth="1"/>
    <col min="8" max="9" width="4.140625" style="8" customWidth="1"/>
    <col min="10" max="10" width="2.42578125" style="8" customWidth="1"/>
    <col min="11" max="11" width="2.28515625" style="8" customWidth="1"/>
    <col min="12" max="12" width="8.42578125" style="8" customWidth="1"/>
    <col min="13" max="13" width="4.7109375" style="8" customWidth="1"/>
    <col min="14" max="14" width="3.140625" style="8" customWidth="1"/>
    <col min="15" max="16384" width="11.42578125" style="8"/>
  </cols>
  <sheetData>
    <row r="1" spans="1:18" ht="16.5" customHeight="1" x14ac:dyDescent="0.2">
      <c r="A1" s="21"/>
      <c r="B1" s="27" t="s">
        <v>229</v>
      </c>
      <c r="C1" s="22"/>
      <c r="D1" s="23"/>
      <c r="E1" s="23"/>
      <c r="F1" s="24"/>
      <c r="G1" s="24"/>
      <c r="H1" s="24"/>
      <c r="I1" s="24"/>
      <c r="J1" s="24"/>
      <c r="K1" s="25"/>
      <c r="L1" s="26"/>
      <c r="M1" s="21"/>
      <c r="N1" s="21"/>
      <c r="O1" s="21"/>
      <c r="P1" s="21"/>
      <c r="Q1" s="21"/>
      <c r="R1" s="21"/>
    </row>
    <row r="2" spans="1:18" x14ac:dyDescent="0.2">
      <c r="B2" s="2"/>
      <c r="C2" s="2"/>
      <c r="D2" s="3"/>
      <c r="E2" s="3"/>
      <c r="F2" s="4"/>
      <c r="G2" s="4"/>
      <c r="H2" s="4"/>
      <c r="I2" s="4"/>
      <c r="J2" s="5"/>
      <c r="K2" s="6"/>
    </row>
    <row r="3" spans="1:18" x14ac:dyDescent="0.2">
      <c r="B3" s="17" t="s">
        <v>277</v>
      </c>
      <c r="E3" s="3"/>
      <c r="F3" s="4"/>
      <c r="G3" s="4"/>
      <c r="H3" s="2" t="s">
        <v>117</v>
      </c>
      <c r="I3" s="4">
        <f>D11</f>
        <v>0</v>
      </c>
      <c r="J3" s="38" t="s">
        <v>118</v>
      </c>
      <c r="K3" s="38" t="s">
        <v>13</v>
      </c>
      <c r="L3" s="39">
        <f>(1-D5)/D4*1000</f>
        <v>-64.473684210526315</v>
      </c>
      <c r="M3" s="38" t="s">
        <v>37</v>
      </c>
    </row>
    <row r="4" spans="1:18" x14ac:dyDescent="0.2">
      <c r="B4" s="15" t="s">
        <v>89</v>
      </c>
      <c r="C4" s="2"/>
      <c r="D4" s="10">
        <v>7.6</v>
      </c>
      <c r="E4" s="12" t="s">
        <v>1</v>
      </c>
      <c r="F4" s="4"/>
      <c r="G4" s="4"/>
      <c r="H4" s="4"/>
      <c r="I4" s="4"/>
      <c r="L4" s="15"/>
      <c r="M4" s="28"/>
      <c r="N4" s="12"/>
    </row>
    <row r="5" spans="1:18" x14ac:dyDescent="0.2">
      <c r="B5" s="15" t="s">
        <v>116</v>
      </c>
      <c r="C5" s="2"/>
      <c r="D5" s="520">
        <v>1.49</v>
      </c>
      <c r="E5" s="12"/>
      <c r="F5" s="4"/>
      <c r="G5" s="4"/>
      <c r="H5" s="2" t="s">
        <v>119</v>
      </c>
      <c r="I5" s="4">
        <f>D11</f>
        <v>0</v>
      </c>
      <c r="J5" s="38" t="s">
        <v>118</v>
      </c>
      <c r="K5" s="38" t="s">
        <v>13</v>
      </c>
      <c r="L5" s="39">
        <f>D9-L3</f>
        <v>63.473684210526315</v>
      </c>
      <c r="M5" s="38" t="s">
        <v>37</v>
      </c>
      <c r="N5" s="12"/>
    </row>
    <row r="6" spans="1:18" x14ac:dyDescent="0.2">
      <c r="B6" s="15"/>
      <c r="C6" s="2"/>
      <c r="E6" s="14"/>
      <c r="L6" s="15"/>
      <c r="M6" s="28"/>
      <c r="N6" s="14"/>
    </row>
    <row r="7" spans="1:18" x14ac:dyDescent="0.2">
      <c r="B7" s="15"/>
      <c r="H7" s="40" t="s">
        <v>228</v>
      </c>
      <c r="I7" s="41">
        <f>D11</f>
        <v>0</v>
      </c>
      <c r="J7" s="42" t="s">
        <v>118</v>
      </c>
      <c r="K7" s="42" t="s">
        <v>13</v>
      </c>
      <c r="L7" s="43">
        <f>(D5-1)/L5*1000</f>
        <v>7.7197346600331676</v>
      </c>
      <c r="M7" s="44" t="s">
        <v>1</v>
      </c>
      <c r="N7" s="12"/>
    </row>
    <row r="8" spans="1:18" x14ac:dyDescent="0.2">
      <c r="B8" s="13" t="s">
        <v>278</v>
      </c>
      <c r="L8" s="17"/>
      <c r="M8" s="28"/>
      <c r="P8" s="4"/>
      <c r="Q8" s="5"/>
      <c r="R8" s="6"/>
    </row>
    <row r="9" spans="1:18" x14ac:dyDescent="0.2">
      <c r="B9" s="15" t="s">
        <v>50</v>
      </c>
      <c r="D9" s="10">
        <v>-1</v>
      </c>
      <c r="E9" s="12" t="s">
        <v>37</v>
      </c>
      <c r="L9" s="15"/>
      <c r="M9" s="29"/>
      <c r="N9" s="12"/>
      <c r="P9" s="4"/>
      <c r="Q9" s="5"/>
      <c r="R9" s="6"/>
    </row>
    <row r="10" spans="1:18" x14ac:dyDescent="0.2">
      <c r="B10" s="15" t="s">
        <v>42</v>
      </c>
      <c r="D10" s="10">
        <v>-0.75</v>
      </c>
      <c r="E10" s="12" t="s">
        <v>37</v>
      </c>
      <c r="H10" s="2" t="s">
        <v>119</v>
      </c>
      <c r="I10" s="4">
        <f>IF(D11&gt;90,D11-90,D11+90)</f>
        <v>90</v>
      </c>
      <c r="J10" s="38" t="s">
        <v>118</v>
      </c>
      <c r="K10" s="38" t="s">
        <v>13</v>
      </c>
      <c r="L10" s="39">
        <f>D9+D10-L3</f>
        <v>62.723684210526315</v>
      </c>
      <c r="M10" s="38" t="s">
        <v>37</v>
      </c>
      <c r="N10" s="12"/>
      <c r="P10" s="4"/>
      <c r="Q10" s="5"/>
      <c r="R10" s="6"/>
    </row>
    <row r="11" spans="1:18" x14ac:dyDescent="0.2">
      <c r="B11" s="15" t="s">
        <v>98</v>
      </c>
      <c r="D11" s="9">
        <v>0</v>
      </c>
      <c r="E11" s="14" t="s">
        <v>4</v>
      </c>
      <c r="L11" s="15"/>
      <c r="M11" s="28"/>
      <c r="N11" s="14"/>
      <c r="O11" s="19"/>
      <c r="P11" s="4"/>
      <c r="Q11" s="5"/>
      <c r="R11" s="6"/>
    </row>
    <row r="12" spans="1:18" x14ac:dyDescent="0.2">
      <c r="A12" s="11"/>
      <c r="C12" s="11"/>
      <c r="D12" s="11"/>
      <c r="E12" s="11"/>
      <c r="F12" s="11"/>
      <c r="G12" s="11"/>
      <c r="H12" s="40" t="s">
        <v>228</v>
      </c>
      <c r="I12" s="41">
        <f>I10</f>
        <v>90</v>
      </c>
      <c r="J12" s="42" t="s">
        <v>118</v>
      </c>
      <c r="K12" s="42" t="s">
        <v>13</v>
      </c>
      <c r="L12" s="43">
        <f>(D5-1)/L10*1000</f>
        <v>7.812041116005874</v>
      </c>
      <c r="M12" s="44" t="s">
        <v>1</v>
      </c>
      <c r="N12" s="11"/>
      <c r="O12" s="11"/>
    </row>
    <row r="13" spans="1:18" x14ac:dyDescent="0.2">
      <c r="A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8" x14ac:dyDescent="0.2">
      <c r="A14" s="11"/>
      <c r="C14" s="11"/>
      <c r="D14" s="11"/>
      <c r="E14" s="11"/>
      <c r="F14" s="11"/>
      <c r="G14" s="45"/>
      <c r="H14" s="42"/>
      <c r="I14" s="46"/>
      <c r="J14" s="46" t="s">
        <v>121</v>
      </c>
      <c r="K14" s="46" t="s">
        <v>13</v>
      </c>
      <c r="L14" s="497">
        <f>IF(L12-L7&gt;0,L12-L7,L7-L12)</f>
        <v>9.230645597270648E-2</v>
      </c>
      <c r="M14" s="48" t="s">
        <v>1</v>
      </c>
      <c r="N14" s="11"/>
      <c r="O14" s="11"/>
    </row>
    <row r="15" spans="1:18" x14ac:dyDescent="0.2">
      <c r="A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8" x14ac:dyDescent="0.2">
      <c r="A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sheetProtection algorithmName="SHA-512" hashValue="YhrR9s+RAfSkNS9ulCOwcmm+LSE7h/E5dEQkVmUYeHPNmp6ROSNAD7Ur/blPRQ4t7mXdJRZCNbfC7wFAiGvP5Q==" saltValue="70/c5oFkHSlbIhTsLoQEMw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"/>
  <sheetViews>
    <sheetView showRowColHeaders="0" zoomScale="190" zoomScaleNormal="190" workbookViewId="0">
      <selection activeCell="D5" sqref="D5"/>
    </sheetView>
  </sheetViews>
  <sheetFormatPr baseColWidth="10" defaultColWidth="11.42578125" defaultRowHeight="12.75" x14ac:dyDescent="0.2"/>
  <cols>
    <col min="1" max="1" width="4.42578125" style="8" customWidth="1"/>
    <col min="2" max="2" width="22.85546875" style="11" customWidth="1"/>
    <col min="3" max="3" width="3.85546875" style="8" customWidth="1"/>
    <col min="4" max="4" width="8" style="8" customWidth="1"/>
    <col min="5" max="5" width="7.5703125" style="8" customWidth="1"/>
    <col min="6" max="6" width="5" style="8" customWidth="1"/>
    <col min="7" max="7" width="4.42578125" style="8" customWidth="1"/>
    <col min="8" max="9" width="4.140625" style="8" customWidth="1"/>
    <col min="10" max="10" width="2.42578125" style="8" customWidth="1"/>
    <col min="11" max="11" width="2.28515625" style="8" customWidth="1"/>
    <col min="12" max="12" width="8.42578125" style="8" customWidth="1"/>
    <col min="13" max="13" width="4.7109375" style="8" customWidth="1"/>
    <col min="14" max="14" width="3.140625" style="8" customWidth="1"/>
    <col min="15" max="16384" width="11.42578125" style="8"/>
  </cols>
  <sheetData>
    <row r="1" spans="1:18" ht="16.5" customHeight="1" x14ac:dyDescent="0.2">
      <c r="A1" s="21"/>
      <c r="B1" s="27" t="s">
        <v>224</v>
      </c>
      <c r="C1" s="22"/>
      <c r="D1" s="23"/>
      <c r="E1" s="23"/>
      <c r="F1" s="24"/>
      <c r="G1" s="24"/>
      <c r="H1" s="24"/>
      <c r="I1" s="24"/>
      <c r="J1" s="24"/>
      <c r="K1" s="25"/>
      <c r="L1" s="26"/>
      <c r="M1" s="21"/>
      <c r="N1" s="21"/>
      <c r="O1" s="21"/>
      <c r="P1" s="21"/>
      <c r="Q1" s="21"/>
      <c r="R1" s="21"/>
    </row>
    <row r="2" spans="1:18" x14ac:dyDescent="0.2">
      <c r="B2" s="2"/>
      <c r="C2" s="2"/>
      <c r="D2" s="3"/>
      <c r="E2" s="3"/>
      <c r="F2" s="4"/>
      <c r="G2" s="4"/>
      <c r="H2" s="4"/>
      <c r="I2" s="4"/>
      <c r="J2" s="5"/>
      <c r="K2" s="6"/>
    </row>
    <row r="3" spans="1:18" x14ac:dyDescent="0.2">
      <c r="B3" s="17" t="s">
        <v>127</v>
      </c>
      <c r="E3" s="3"/>
      <c r="F3" s="4"/>
      <c r="G3" s="4"/>
      <c r="H3" s="2" t="s">
        <v>117</v>
      </c>
      <c r="I3" s="4">
        <v>0</v>
      </c>
      <c r="J3" s="38" t="s">
        <v>118</v>
      </c>
      <c r="K3" s="38" t="s">
        <v>13</v>
      </c>
      <c r="L3" s="39">
        <f>ROUND((1-D6)/D4*1000,2)</f>
        <v>-61.25</v>
      </c>
      <c r="M3" s="38" t="s">
        <v>37</v>
      </c>
      <c r="O3" s="494" t="s">
        <v>222</v>
      </c>
      <c r="P3" s="495">
        <f>ROUND((1-D6)/D5*1000,2)</f>
        <v>-64.47</v>
      </c>
    </row>
    <row r="4" spans="1:18" x14ac:dyDescent="0.2">
      <c r="B4" s="15" t="s">
        <v>122</v>
      </c>
      <c r="C4" s="2"/>
      <c r="D4" s="10">
        <v>8</v>
      </c>
      <c r="E4" s="12" t="s">
        <v>1</v>
      </c>
      <c r="F4" s="4"/>
      <c r="G4" s="4"/>
      <c r="H4" s="2" t="s">
        <v>119</v>
      </c>
      <c r="I4" s="4">
        <v>0</v>
      </c>
      <c r="J4" s="38" t="s">
        <v>118</v>
      </c>
      <c r="K4" s="38" t="s">
        <v>13</v>
      </c>
      <c r="L4" s="39">
        <f>ROUND(D9-L3,2)</f>
        <v>61.25</v>
      </c>
      <c r="M4" s="38" t="s">
        <v>37</v>
      </c>
      <c r="N4" s="12"/>
    </row>
    <row r="5" spans="1:18" x14ac:dyDescent="0.2">
      <c r="B5" s="15" t="s">
        <v>123</v>
      </c>
      <c r="D5" s="10">
        <v>7.6</v>
      </c>
      <c r="E5" s="12" t="s">
        <v>1</v>
      </c>
      <c r="F5" s="4"/>
      <c r="G5" s="4"/>
      <c r="H5" s="40" t="s">
        <v>228</v>
      </c>
      <c r="I5" s="41">
        <v>0</v>
      </c>
      <c r="J5" s="42" t="s">
        <v>118</v>
      </c>
      <c r="K5" s="42" t="s">
        <v>13</v>
      </c>
      <c r="L5" s="43">
        <f>(D6-1)/L4*1000</f>
        <v>8</v>
      </c>
      <c r="M5" s="44" t="s">
        <v>1</v>
      </c>
      <c r="N5" s="12"/>
    </row>
    <row r="6" spans="1:18" x14ac:dyDescent="0.2">
      <c r="B6" s="15" t="s">
        <v>116</v>
      </c>
      <c r="C6" s="2"/>
      <c r="D6" s="10">
        <v>1.49</v>
      </c>
      <c r="E6" s="14"/>
      <c r="L6" s="15"/>
      <c r="M6" s="28"/>
      <c r="N6" s="14"/>
    </row>
    <row r="7" spans="1:18" x14ac:dyDescent="0.2">
      <c r="B7" s="15"/>
      <c r="I7" s="7" t="s">
        <v>125</v>
      </c>
      <c r="K7" s="38" t="s">
        <v>13</v>
      </c>
      <c r="L7" s="49">
        <f>ROUND((1.336-D6)*(1/D5-1/D4)*1000,2)</f>
        <v>-1.01</v>
      </c>
      <c r="M7" s="38" t="s">
        <v>126</v>
      </c>
      <c r="N7" s="12"/>
    </row>
    <row r="8" spans="1:18" x14ac:dyDescent="0.2">
      <c r="B8" s="13" t="s">
        <v>128</v>
      </c>
      <c r="L8" s="17"/>
      <c r="M8" s="28"/>
      <c r="P8" s="4"/>
      <c r="Q8" s="5"/>
      <c r="R8" s="6"/>
    </row>
    <row r="9" spans="1:18" x14ac:dyDescent="0.2">
      <c r="B9" s="15" t="s">
        <v>50</v>
      </c>
      <c r="D9" s="10">
        <v>0</v>
      </c>
      <c r="E9" s="12" t="s">
        <v>124</v>
      </c>
      <c r="L9" s="15"/>
      <c r="M9" s="29"/>
      <c r="N9" s="12"/>
      <c r="P9" s="4"/>
      <c r="Q9" s="5"/>
      <c r="R9" s="6"/>
    </row>
    <row r="10" spans="1:18" x14ac:dyDescent="0.2">
      <c r="C10" s="11"/>
      <c r="D10" s="11"/>
      <c r="E10" s="11"/>
      <c r="H10" s="2" t="s">
        <v>119</v>
      </c>
      <c r="I10" s="4">
        <v>90</v>
      </c>
      <c r="J10" s="38" t="s">
        <v>118</v>
      </c>
      <c r="K10" s="38" t="s">
        <v>13</v>
      </c>
      <c r="L10" s="39">
        <f>L4-L7</f>
        <v>62.26</v>
      </c>
      <c r="M10" s="38" t="s">
        <v>37</v>
      </c>
      <c r="N10" s="12"/>
      <c r="P10" s="4"/>
      <c r="Q10" s="5"/>
      <c r="R10" s="6"/>
    </row>
    <row r="11" spans="1:18" x14ac:dyDescent="0.2">
      <c r="B11" s="15" t="s">
        <v>50</v>
      </c>
      <c r="D11" s="496">
        <f>L10+P3</f>
        <v>-2.2100000000000009</v>
      </c>
      <c r="E11" s="12" t="s">
        <v>223</v>
      </c>
      <c r="H11" s="40" t="s">
        <v>228</v>
      </c>
      <c r="I11" s="41">
        <f>I10</f>
        <v>90</v>
      </c>
      <c r="J11" s="42" t="s">
        <v>118</v>
      </c>
      <c r="K11" s="42" t="s">
        <v>13</v>
      </c>
      <c r="L11" s="43">
        <f>ROUND((D6-1)/L10*1000,2)</f>
        <v>7.87</v>
      </c>
      <c r="M11" s="44" t="s">
        <v>1</v>
      </c>
      <c r="N11" s="14"/>
      <c r="O11" s="19"/>
      <c r="P11" s="4"/>
      <c r="Q11" s="5"/>
      <c r="R11" s="6"/>
    </row>
    <row r="12" spans="1:18" x14ac:dyDescent="0.2">
      <c r="A12" s="11"/>
      <c r="C12" s="11"/>
      <c r="D12" s="11"/>
      <c r="E12" s="11"/>
      <c r="F12" s="11"/>
      <c r="G12" s="11"/>
      <c r="N12" s="11"/>
      <c r="O12" s="11"/>
    </row>
    <row r="13" spans="1:18" x14ac:dyDescent="0.2">
      <c r="A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8" x14ac:dyDescent="0.2">
      <c r="A14" s="11"/>
      <c r="C14" s="11"/>
      <c r="D14" s="11"/>
      <c r="E14" s="11"/>
      <c r="F14" s="11"/>
      <c r="G14" s="45"/>
      <c r="H14" s="42"/>
      <c r="I14" s="46"/>
      <c r="J14" s="46" t="s">
        <v>120</v>
      </c>
      <c r="K14" s="46" t="s">
        <v>13</v>
      </c>
      <c r="L14" s="47">
        <f>IF(L11-L5&gt;0,L11-L5,L5-L11)</f>
        <v>0.12999999999999989</v>
      </c>
      <c r="M14" s="48" t="s">
        <v>1</v>
      </c>
      <c r="N14" s="11"/>
      <c r="O14" s="11"/>
    </row>
    <row r="15" spans="1:18" x14ac:dyDescent="0.2">
      <c r="A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8" x14ac:dyDescent="0.2">
      <c r="A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sheetProtection algorithmName="SHA-512" hashValue="FR9JeUk2S7gY9Oo3L9Fcjl+qVrlvmaO00LEXtSt06f8hMNsLor4V4ogan1dccz0XrWgAxcXA2CYAeJZ6lTXu3g==" saltValue="lszPn6zPeCTCQXtLFtAtOw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SRM</vt:lpstr>
      <vt:lpstr>SRM-DIN A4</vt:lpstr>
      <vt:lpstr>Linsentypwahl</vt:lpstr>
      <vt:lpstr>HSA</vt:lpstr>
      <vt:lpstr>Beste sph. Linse</vt:lpstr>
      <vt:lpstr>theor. Überrefraktion</vt:lpstr>
      <vt:lpstr>Torische Weichlinse</vt:lpstr>
      <vt:lpstr>VPT</vt:lpstr>
      <vt:lpstr>BTC</vt:lpstr>
      <vt:lpstr>Mobile</vt:lpstr>
      <vt:lpstr>Exzentrizität</vt:lpstr>
      <vt:lpstr>Download neuste Version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Anpassprogramm</dc:title>
  <dc:subject>Hart- und Weichlinsen</dc:subject>
  <dc:creator>Rainer Billert</dc:creator>
  <cp:keywords>Hartlinsen Weichlinsen Anpassung</cp:keywords>
  <dc:description>Voll funktionstüchtige Version. Ist geprüft.</dc:description>
  <cp:lastModifiedBy>Rainer Billert</cp:lastModifiedBy>
  <cp:lastPrinted>2014-11-05T12:07:58Z</cp:lastPrinted>
  <dcterms:created xsi:type="dcterms:W3CDTF">1998-06-30T18:28:38Z</dcterms:created>
  <dcterms:modified xsi:type="dcterms:W3CDTF">2022-04-26T09:58:01Z</dcterms:modified>
  <cp:category>Kontaktlinsen</cp:category>
</cp:coreProperties>
</file>