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/>
  <bookViews>
    <workbookView xWindow="5235" yWindow="60" windowWidth="7935" windowHeight="8745" tabRatio="911"/>
  </bookViews>
  <sheets>
    <sheet name="SRM-Auswertung" sheetId="1" r:id="rId1"/>
    <sheet name="SRM-DIN A4" sheetId="2" r:id="rId2"/>
    <sheet name="Beste sph. Linse" sheetId="8" r:id="rId3"/>
    <sheet name="theor. Überrefraktion" sheetId="7" r:id="rId4"/>
    <sheet name="Torische Weichlinse" sheetId="4" r:id="rId5"/>
    <sheet name="VPT-Linse" sheetId="5" r:id="rId6"/>
    <sheet name="BTC-Linse" sheetId="6" r:id="rId7"/>
    <sheet name="Mobile" sheetId="10" r:id="rId8"/>
    <sheet name="Exzentrizität" sheetId="11" r:id="rId9"/>
    <sheet name="Download neuste Version" sheetId="9" r:id="rId10"/>
  </sheets>
  <calcPr calcId="145621"/>
  <customWorkbookViews>
    <customWorkbookView name="Billert, Rainer - Persönliche Ansicht" guid="{B1D94C4E-3F70-49FE-A1EC-47C95B05E6DE}" mergeInterval="0" personalView="1" maximized="1" xWindow="1" yWindow="1" windowWidth="1596" windowHeight="761" tabRatio="697" activeSheetId="1"/>
  </customWorkbookViews>
</workbook>
</file>

<file path=xl/calcChain.xml><?xml version="1.0" encoding="utf-8"?>
<calcChain xmlns="http://schemas.openxmlformats.org/spreadsheetml/2006/main">
  <c r="F4" i="7" l="1"/>
  <c r="E4" i="7"/>
  <c r="B7" i="7"/>
  <c r="E3" i="7" s="1"/>
  <c r="E5" i="8" l="1"/>
  <c r="B7" i="8"/>
  <c r="E3" i="8" s="1"/>
  <c r="F3" i="8" s="1"/>
  <c r="F4" i="8" l="1"/>
  <c r="E4" i="8"/>
  <c r="P3" i="6" l="1"/>
  <c r="Q22" i="1" l="1"/>
  <c r="AU43" i="1" l="1"/>
  <c r="J47" i="2" l="1"/>
  <c r="J48" i="2"/>
  <c r="F32" i="2"/>
  <c r="J49" i="2"/>
  <c r="F36" i="2"/>
  <c r="F31" i="2"/>
  <c r="P17" i="11"/>
  <c r="C58" i="11"/>
  <c r="P16" i="11"/>
  <c r="C57" i="11"/>
  <c r="H56" i="11"/>
  <c r="H55" i="11" s="1"/>
  <c r="D56" i="11"/>
  <c r="D55" i="11"/>
  <c r="H54" i="11"/>
  <c r="D54" i="11"/>
  <c r="P19" i="11"/>
  <c r="P18" i="11"/>
  <c r="H12" i="10"/>
  <c r="I12" i="10" s="1"/>
  <c r="AV43" i="10"/>
  <c r="AU43" i="10"/>
  <c r="AP35" i="10"/>
  <c r="AV33" i="10"/>
  <c r="L30" i="10" s="1"/>
  <c r="AP27" i="10"/>
  <c r="O28" i="10" s="1"/>
  <c r="AP26" i="10"/>
  <c r="O27" i="10" s="1"/>
  <c r="AS25" i="10"/>
  <c r="O26" i="10" s="1"/>
  <c r="P26" i="10"/>
  <c r="I27" i="10"/>
  <c r="D27" i="10"/>
  <c r="B27" i="10"/>
  <c r="AO16" i="10"/>
  <c r="G16" i="10"/>
  <c r="AO15" i="10"/>
  <c r="G15" i="10"/>
  <c r="AT14" i="10"/>
  <c r="AQ29" i="10" s="1"/>
  <c r="R23" i="10" s="1"/>
  <c r="AP14" i="10"/>
  <c r="G14" i="10"/>
  <c r="AP13" i="10"/>
  <c r="AT12" i="10"/>
  <c r="AP12" i="10"/>
  <c r="AR5" i="10" s="1"/>
  <c r="O16" i="10" s="1"/>
  <c r="P17" i="10"/>
  <c r="P16" i="10"/>
  <c r="AQ8" i="10"/>
  <c r="P19" i="10" s="1"/>
  <c r="AU7" i="10"/>
  <c r="AU8" i="10" s="1"/>
  <c r="P20" i="10" s="1"/>
  <c r="AT7" i="10"/>
  <c r="O18" i="10" s="1"/>
  <c r="T13" i="10"/>
  <c r="AS2" i="10" s="1"/>
  <c r="O13" i="10"/>
  <c r="AU36" i="10" s="1"/>
  <c r="N5" i="10"/>
  <c r="O11" i="10"/>
  <c r="O12" i="10" s="1"/>
  <c r="AT3" i="10"/>
  <c r="AR3" i="10"/>
  <c r="F6" i="7"/>
  <c r="E6" i="7"/>
  <c r="D7" i="8"/>
  <c r="D6" i="8"/>
  <c r="F5" i="8"/>
  <c r="D5" i="8"/>
  <c r="J6" i="1"/>
  <c r="AP11" i="10" l="1"/>
  <c r="P18" i="10"/>
  <c r="H52" i="11"/>
  <c r="D57" i="11"/>
  <c r="G61" i="11" s="1"/>
  <c r="R22" i="11" s="1"/>
  <c r="D58" i="11"/>
  <c r="H58" i="11" s="1"/>
  <c r="D52" i="11"/>
  <c r="H53" i="11"/>
  <c r="P20" i="11"/>
  <c r="D53" i="11"/>
  <c r="AR6" i="10"/>
  <c r="O17" i="10" s="1"/>
  <c r="I21" i="10"/>
  <c r="AT10" i="10"/>
  <c r="AP10" i="10"/>
  <c r="AT11" i="10"/>
  <c r="AT13" i="10"/>
  <c r="AP16" i="10" s="1"/>
  <c r="AT16" i="10" s="1"/>
  <c r="AP15" i="10"/>
  <c r="AS19" i="10" s="1"/>
  <c r="R22" i="10" s="1"/>
  <c r="I13" i="10"/>
  <c r="AP33" i="10"/>
  <c r="D30" i="10" s="1"/>
  <c r="AP43" i="10"/>
  <c r="AQ36" i="10"/>
  <c r="H13" i="10"/>
  <c r="AP8" i="10"/>
  <c r="O19" i="10" s="1"/>
  <c r="T11" i="10"/>
  <c r="AQ2" i="10" s="1"/>
  <c r="T12" i="10"/>
  <c r="AR2" i="10" s="1"/>
  <c r="AS36" i="10"/>
  <c r="H25" i="10"/>
  <c r="H24" i="10"/>
  <c r="AV5" i="10"/>
  <c r="AU29" i="10"/>
  <c r="F6" i="8"/>
  <c r="E6" i="8"/>
  <c r="F10" i="8" s="1"/>
  <c r="H9" i="7"/>
  <c r="H10" i="7" s="1"/>
  <c r="F5" i="7"/>
  <c r="E5" i="7"/>
  <c r="D7" i="7"/>
  <c r="D6" i="7"/>
  <c r="D5" i="7"/>
  <c r="H51" i="2"/>
  <c r="J51" i="2"/>
  <c r="J52" i="2"/>
  <c r="M28" i="2"/>
  <c r="L6" i="2"/>
  <c r="L10" i="2"/>
  <c r="L9" i="2"/>
  <c r="L8" i="2"/>
  <c r="L7" i="2"/>
  <c r="E10" i="2"/>
  <c r="D10" i="2"/>
  <c r="D5" i="2"/>
  <c r="V4" i="1"/>
  <c r="F6" i="1"/>
  <c r="AT36" i="1" s="1"/>
  <c r="F4" i="1"/>
  <c r="F5" i="1" s="1"/>
  <c r="AR36" i="1" s="1"/>
  <c r="AN15" i="1"/>
  <c r="AN16" i="1"/>
  <c r="U17" i="1"/>
  <c r="L63" i="2" s="1"/>
  <c r="S17" i="1"/>
  <c r="I63" i="2" s="1"/>
  <c r="O17" i="1"/>
  <c r="F63" i="2" s="1"/>
  <c r="M17" i="1"/>
  <c r="D63" i="2" s="1"/>
  <c r="W16" i="1"/>
  <c r="W15" i="1"/>
  <c r="W14" i="1"/>
  <c r="G19" i="1"/>
  <c r="F51" i="2" s="1"/>
  <c r="G10" i="1"/>
  <c r="G15" i="2" s="1"/>
  <c r="G9" i="1"/>
  <c r="G13" i="2" s="1"/>
  <c r="L3" i="6"/>
  <c r="L4" i="6" s="1"/>
  <c r="L7" i="6"/>
  <c r="I5" i="5"/>
  <c r="I10" i="5"/>
  <c r="I12" i="5" s="1"/>
  <c r="I7" i="5"/>
  <c r="L3" i="5"/>
  <c r="L5" i="5" s="1"/>
  <c r="L7" i="5" s="1"/>
  <c r="I3" i="5"/>
  <c r="F15" i="4"/>
  <c r="F14" i="4"/>
  <c r="M15" i="4"/>
  <c r="L8" i="4"/>
  <c r="C21" i="4" s="1"/>
  <c r="M6" i="4"/>
  <c r="M4" i="4"/>
  <c r="M5" i="4" s="1"/>
  <c r="C18" i="4"/>
  <c r="I18" i="4" s="1"/>
  <c r="AQ3" i="1"/>
  <c r="AS3" i="1"/>
  <c r="J60" i="2"/>
  <c r="H60" i="2"/>
  <c r="J59" i="2"/>
  <c r="H59" i="2"/>
  <c r="AP8" i="1"/>
  <c r="G12" i="1" s="1"/>
  <c r="M17" i="2" s="1"/>
  <c r="AR25" i="1"/>
  <c r="F19" i="1" s="1"/>
  <c r="E51" i="2" s="1"/>
  <c r="AO26" i="1"/>
  <c r="F20" i="1" s="1"/>
  <c r="L52" i="2" s="1"/>
  <c r="AT43" i="1"/>
  <c r="E56" i="2" s="1"/>
  <c r="H56" i="2"/>
  <c r="AU33" i="1"/>
  <c r="Y21" i="1" s="1"/>
  <c r="L66" i="2" s="1"/>
  <c r="AO27" i="1"/>
  <c r="F21" i="1" s="1"/>
  <c r="T12" i="1" s="1"/>
  <c r="K59" i="2" s="1"/>
  <c r="AO35" i="1"/>
  <c r="AT7" i="1"/>
  <c r="AT8" i="1" s="1"/>
  <c r="G13" i="1" s="1"/>
  <c r="H18" i="2" s="1"/>
  <c r="AR2" i="1"/>
  <c r="AO13" i="1"/>
  <c r="I29" i="2" s="1"/>
  <c r="AO14" i="1"/>
  <c r="AS12" i="1"/>
  <c r="E35" i="2" s="1"/>
  <c r="AO12" i="1"/>
  <c r="AO33" i="1" s="1"/>
  <c r="AS14" i="1"/>
  <c r="AT29" i="1" s="1"/>
  <c r="L38" i="2" s="1"/>
  <c r="H10" i="8" l="1"/>
  <c r="H12" i="8" s="1"/>
  <c r="AQ5" i="1"/>
  <c r="F9" i="1" s="1"/>
  <c r="F13" i="2" s="1"/>
  <c r="E29" i="2"/>
  <c r="H57" i="11"/>
  <c r="D13" i="11" s="1"/>
  <c r="I62" i="11"/>
  <c r="D65" i="11"/>
  <c r="D14" i="11"/>
  <c r="O23" i="10"/>
  <c r="I20" i="10"/>
  <c r="AU20" i="10"/>
  <c r="I5" i="10" s="1"/>
  <c r="AV35" i="10"/>
  <c r="AT15" i="10"/>
  <c r="AP23" i="10"/>
  <c r="AT8" i="10"/>
  <c r="AU9" i="10" s="1"/>
  <c r="AR33" i="10"/>
  <c r="G30" i="10" s="1"/>
  <c r="AS33" i="10"/>
  <c r="AT33" i="10"/>
  <c r="I30" i="10" s="1"/>
  <c r="E10" i="8"/>
  <c r="F12" i="8"/>
  <c r="F7" i="7"/>
  <c r="E7" i="7"/>
  <c r="F3" i="7"/>
  <c r="H13" i="7"/>
  <c r="L21" i="4"/>
  <c r="I5" i="2"/>
  <c r="L51" i="2"/>
  <c r="AO8" i="1"/>
  <c r="F12" i="1" s="1"/>
  <c r="L17" i="2" s="1"/>
  <c r="G5" i="2"/>
  <c r="H5" i="2"/>
  <c r="X12" i="1"/>
  <c r="K45" i="2" s="1"/>
  <c r="L45" i="2" s="1"/>
  <c r="J5" i="1"/>
  <c r="J4" i="1"/>
  <c r="AP36" i="1"/>
  <c r="T14" i="1"/>
  <c r="K60" i="2" s="1"/>
  <c r="AU5" i="1"/>
  <c r="AO15" i="1"/>
  <c r="G11" i="1"/>
  <c r="H17" i="2" s="1"/>
  <c r="L10" i="6"/>
  <c r="L10" i="5"/>
  <c r="L12" i="5" s="1"/>
  <c r="L14" i="5" s="1"/>
  <c r="L5" i="6"/>
  <c r="M13" i="4"/>
  <c r="O11" i="4"/>
  <c r="J18" i="4"/>
  <c r="M11" i="4"/>
  <c r="J21" i="4" s="1"/>
  <c r="R21" i="1"/>
  <c r="F66" i="2" s="1"/>
  <c r="AO10" i="1"/>
  <c r="E25" i="2" s="1"/>
  <c r="AS7" i="1"/>
  <c r="AS13" i="1"/>
  <c r="AO11" i="1"/>
  <c r="E26" i="2" s="1"/>
  <c r="AS11" i="1"/>
  <c r="I26" i="2" s="1"/>
  <c r="AS10" i="1"/>
  <c r="I25" i="2" s="1"/>
  <c r="AQ6" i="1"/>
  <c r="F10" i="1" s="1"/>
  <c r="F15" i="2" s="1"/>
  <c r="L11" i="6" l="1"/>
  <c r="L14" i="6" s="1"/>
  <c r="D11" i="6"/>
  <c r="AO16" i="1"/>
  <c r="AS16" i="1" s="1"/>
  <c r="I35" i="2"/>
  <c r="F9" i="7"/>
  <c r="F10" i="7" s="1"/>
  <c r="F13" i="7" s="1"/>
  <c r="E14" i="8"/>
  <c r="H14" i="8" s="1"/>
  <c r="D61" i="11"/>
  <c r="D62" i="11"/>
  <c r="I65" i="11" s="1"/>
  <c r="L65" i="11" s="1"/>
  <c r="AP19" i="10"/>
  <c r="I19" i="10"/>
  <c r="O22" i="10"/>
  <c r="AP20" i="10"/>
  <c r="AU24" i="10" s="1"/>
  <c r="AR30" i="10" s="1"/>
  <c r="AT30" i="10" s="1"/>
  <c r="O20" i="10"/>
  <c r="I8" i="10" s="1"/>
  <c r="O21" i="10"/>
  <c r="I6" i="10" s="1"/>
  <c r="U21" i="10"/>
  <c r="H30" i="10"/>
  <c r="AN33" i="10"/>
  <c r="B30" i="10" s="1"/>
  <c r="E12" i="8"/>
  <c r="E9" i="7"/>
  <c r="E10" i="7" s="1"/>
  <c r="AQ2" i="1"/>
  <c r="AP2" i="1"/>
  <c r="X13" i="1"/>
  <c r="K46" i="2" s="1"/>
  <c r="Y13" i="1"/>
  <c r="L46" i="2" s="1"/>
  <c r="AS15" i="1"/>
  <c r="Y12" i="1"/>
  <c r="AS8" i="1"/>
  <c r="AT9" i="1" s="1"/>
  <c r="F11" i="1"/>
  <c r="G17" i="2" s="1"/>
  <c r="M14" i="4"/>
  <c r="M9" i="4"/>
  <c r="E21" i="4" s="1"/>
  <c r="AO43" i="1"/>
  <c r="F54" i="2" s="1"/>
  <c r="H54" i="2" s="1"/>
  <c r="E36" i="2" l="1"/>
  <c r="AO23" i="1"/>
  <c r="I11" i="6"/>
  <c r="E31" i="2"/>
  <c r="AT20" i="1"/>
  <c r="I32" i="2" s="1"/>
  <c r="AR19" i="1"/>
  <c r="H15" i="1" s="1"/>
  <c r="K65" i="11"/>
  <c r="AW24" i="10"/>
  <c r="AU23" i="10"/>
  <c r="AW23" i="10" s="1"/>
  <c r="C24" i="10" s="1"/>
  <c r="C27" i="10" s="1"/>
  <c r="E27" i="10"/>
  <c r="G27" i="10" s="1"/>
  <c r="AP30" i="10"/>
  <c r="AP31" i="10" s="1"/>
  <c r="I10" i="10"/>
  <c r="I14" i="10"/>
  <c r="I15" i="10" s="1"/>
  <c r="H14" i="10"/>
  <c r="H15" i="10" s="1"/>
  <c r="I7" i="10"/>
  <c r="I9" i="10"/>
  <c r="E24" i="10"/>
  <c r="AS38" i="10"/>
  <c r="AQ38" i="10"/>
  <c r="E13" i="7"/>
  <c r="AO20" i="1"/>
  <c r="AT23" i="1" s="1"/>
  <c r="AV23" i="1" s="1"/>
  <c r="F15" i="1"/>
  <c r="AO19" i="1"/>
  <c r="F16" i="1"/>
  <c r="F14" i="1"/>
  <c r="Q5" i="1" s="1"/>
  <c r="F13" i="1"/>
  <c r="M10" i="4"/>
  <c r="H21" i="4" s="1"/>
  <c r="AS33" i="1"/>
  <c r="W21" i="1" s="1"/>
  <c r="J66" i="2" s="1"/>
  <c r="AU35" i="1"/>
  <c r="AQ33" i="1" s="1"/>
  <c r="T21" i="1" s="1"/>
  <c r="H66" i="2" s="1"/>
  <c r="AR33" i="1"/>
  <c r="G18" i="2" l="1"/>
  <c r="Q8" i="1"/>
  <c r="F22" i="2" s="1"/>
  <c r="Q4" i="1"/>
  <c r="G31" i="2"/>
  <c r="U21" i="11"/>
  <c r="I28" i="10"/>
  <c r="H27" i="10" s="1"/>
  <c r="AS24" i="10"/>
  <c r="C25" i="10"/>
  <c r="AQ42" i="10"/>
  <c r="AR31" i="10"/>
  <c r="AT31" i="10" s="1"/>
  <c r="AP39" i="10"/>
  <c r="AS39" i="10"/>
  <c r="AS40" i="10" s="1"/>
  <c r="AV39" i="10"/>
  <c r="AV40" i="10" s="1"/>
  <c r="F19" i="2"/>
  <c r="Q9" i="1"/>
  <c r="AP29" i="1"/>
  <c r="E32" i="2"/>
  <c r="Q7" i="1"/>
  <c r="F21" i="2" s="1"/>
  <c r="K14" i="1"/>
  <c r="Q6" i="1"/>
  <c r="F20" i="2" s="1"/>
  <c r="AT24" i="1"/>
  <c r="AV24" i="1" s="1"/>
  <c r="AO30" i="1"/>
  <c r="AO31" i="1" s="1"/>
  <c r="AQ31" i="1" s="1"/>
  <c r="V21" i="1"/>
  <c r="I66" i="2" s="1"/>
  <c r="AM33" i="1"/>
  <c r="M21" i="1" s="1"/>
  <c r="D66" i="2" s="1"/>
  <c r="E25" i="10" l="1"/>
  <c r="AS42" i="10"/>
  <c r="AP40" i="10"/>
  <c r="AV38" i="10"/>
  <c r="AV30" i="10" s="1"/>
  <c r="G24" i="10" s="1"/>
  <c r="N12" i="1"/>
  <c r="N17" i="1" s="1"/>
  <c r="E63" i="2" s="1"/>
  <c r="AR24" i="1"/>
  <c r="H36" i="2" s="1"/>
  <c r="H16" i="1"/>
  <c r="F38" i="2"/>
  <c r="F41" i="2"/>
  <c r="E60" i="2" s="1"/>
  <c r="F40" i="2"/>
  <c r="E59" i="2" s="1"/>
  <c r="I36" i="2"/>
  <c r="AQ30" i="1"/>
  <c r="AP38" i="1"/>
  <c r="P17" i="1"/>
  <c r="R17" i="1" s="1"/>
  <c r="X19" i="1" l="1"/>
  <c r="T17" i="1" s="1"/>
  <c r="K63" i="2" s="1"/>
  <c r="G63" i="2"/>
  <c r="AV42" i="10"/>
  <c r="AV31" i="10" s="1"/>
  <c r="G25" i="10" s="1"/>
  <c r="AS30" i="1"/>
  <c r="H40" i="2"/>
  <c r="AP42" i="1"/>
  <c r="N14" i="1"/>
  <c r="H63" i="2" l="1"/>
  <c r="L40" i="2"/>
  <c r="G59" i="2" s="1"/>
  <c r="X14" i="1"/>
  <c r="Y14" i="1"/>
  <c r="AR38" i="1"/>
  <c r="P12" i="1"/>
  <c r="AS31" i="1"/>
  <c r="H41" i="2"/>
  <c r="Y15" i="1" l="1"/>
  <c r="L48" i="2" s="1"/>
  <c r="L47" i="2"/>
  <c r="X15" i="1"/>
  <c r="K47" i="2"/>
  <c r="L41" i="2"/>
  <c r="G60" i="2" s="1"/>
  <c r="AR42" i="1"/>
  <c r="P14" i="1"/>
  <c r="K48" i="2" l="1"/>
  <c r="AR39" i="1"/>
  <c r="AU39" i="1"/>
  <c r="AO39" i="1"/>
  <c r="X18" i="1"/>
  <c r="AU30" i="1" s="1"/>
  <c r="H48" i="2" s="1"/>
  <c r="AO40" i="1" l="1"/>
  <c r="E46" i="2"/>
  <c r="AU40" i="1"/>
  <c r="H47" i="2" s="1"/>
  <c r="H46" i="2"/>
  <c r="AR40" i="1"/>
  <c r="F46" i="2"/>
  <c r="AU38" i="1"/>
  <c r="E48" i="2" l="1"/>
  <c r="F47" i="2"/>
  <c r="E47" i="2"/>
  <c r="AU42" i="1"/>
  <c r="R12" i="1"/>
  <c r="I59" i="2"/>
  <c r="AU31" i="1" l="1"/>
  <c r="R14" i="1" s="1"/>
  <c r="I60" i="2" l="1"/>
</calcChain>
</file>

<file path=xl/sharedStrings.xml><?xml version="1.0" encoding="utf-8"?>
<sst xmlns="http://schemas.openxmlformats.org/spreadsheetml/2006/main" count="887" uniqueCount="236">
  <si>
    <t>Zentralradien</t>
  </si>
  <si>
    <t>mm</t>
  </si>
  <si>
    <t xml:space="preserve"> </t>
  </si>
  <si>
    <t>AZ</t>
  </si>
  <si>
    <t>°</t>
  </si>
  <si>
    <t>rc (horizontal)</t>
  </si>
  <si>
    <t>Achse</t>
  </si>
  <si>
    <t>rc (vertikal)</t>
  </si>
  <si>
    <t>Rs(nasal)</t>
  </si>
  <si>
    <t>Rs(temporal)</t>
  </si>
  <si>
    <t>Rs(inferior)</t>
  </si>
  <si>
    <t>Rs(superior)</t>
  </si>
  <si>
    <t>rc(flach)</t>
  </si>
  <si>
    <t>=</t>
  </si>
  <si>
    <t>rs(flach)</t>
  </si>
  <si>
    <t>rs(nasal)</t>
  </si>
  <si>
    <t>rs(temporal)</t>
  </si>
  <si>
    <t>rs(inferior)</t>
  </si>
  <si>
    <t>rs(superior)</t>
  </si>
  <si>
    <t>Zentralradien bewerten:</t>
  </si>
  <si>
    <t>rc(gesamt)</t>
  </si>
  <si>
    <t>rs(gesamt)</t>
  </si>
  <si>
    <t>Zentraltorus bewerten:</t>
  </si>
  <si>
    <t>torische Hornhaut</t>
  </si>
  <si>
    <t>HHA</t>
  </si>
  <si>
    <t>≈</t>
  </si>
  <si>
    <t>GA</t>
  </si>
  <si>
    <t>Gesamtexzentrizität berechnen -  Sphäre oder Asphäre</t>
  </si>
  <si>
    <r>
      <rPr>
        <sz val="14"/>
        <rFont val="Calibri"/>
        <family val="2"/>
      </rPr>
      <t>ε</t>
    </r>
    <r>
      <rPr>
        <sz val="8"/>
        <rFont val="Arial"/>
        <family val="2"/>
      </rPr>
      <t>KL</t>
    </r>
  </si>
  <si>
    <r>
      <rPr>
        <sz val="14"/>
        <rFont val="Calibri"/>
        <family val="2"/>
      </rPr>
      <t>ε</t>
    </r>
    <r>
      <rPr>
        <sz val="8"/>
        <rFont val="Arial"/>
        <family val="2"/>
      </rPr>
      <t>(HH)ges</t>
    </r>
  </si>
  <si>
    <r>
      <rPr>
        <sz val="14"/>
        <rFont val="Calibri"/>
        <family val="2"/>
      </rPr>
      <t>ε</t>
    </r>
    <r>
      <rPr>
        <sz val="8"/>
        <rFont val="Arial"/>
        <family val="2"/>
      </rPr>
      <t>(HH)flach</t>
    </r>
  </si>
  <si>
    <t>Alternative</t>
  </si>
  <si>
    <t>Sphäre</t>
  </si>
  <si>
    <t>Astigmatische Verhältnisse:</t>
  </si>
  <si>
    <t>ro =</t>
  </si>
  <si>
    <t>Empfehlung:</t>
  </si>
  <si>
    <t>Angestrebte Anpassart:</t>
  </si>
  <si>
    <t>dpt</t>
  </si>
  <si>
    <t>LSH</t>
  </si>
  <si>
    <t>Modifikation:</t>
  </si>
  <si>
    <t>HSA</t>
  </si>
  <si>
    <t>Messwinkel</t>
  </si>
  <si>
    <t>cyl</t>
  </si>
  <si>
    <t>Vollkorr. S'KL</t>
  </si>
  <si>
    <t>Achse (hor)</t>
  </si>
  <si>
    <t>ro=</t>
  </si>
  <si>
    <t>Messlinsenberechnung</t>
  </si>
  <si>
    <t>→</t>
  </si>
  <si>
    <t>BSL=</t>
  </si>
  <si>
    <t>dpt   A</t>
  </si>
  <si>
    <t>sph</t>
  </si>
  <si>
    <t>mm  S'KL=</t>
  </si>
  <si>
    <t>Apexlage:</t>
  </si>
  <si>
    <t>°             IA</t>
  </si>
  <si>
    <t>S'KL=</t>
  </si>
  <si>
    <r>
      <t>°        KL</t>
    </r>
    <r>
      <rPr>
        <sz val="10"/>
        <color indexed="56"/>
        <rFont val="Calibri"/>
        <family val="2"/>
      </rPr>
      <t>Ø=</t>
    </r>
  </si>
  <si>
    <t>Achse=</t>
  </si>
  <si>
    <t>Beste sphärische Weiche =</t>
  </si>
  <si>
    <t>gerundet S'KL</t>
  </si>
  <si>
    <r>
      <t>PT     (</t>
    </r>
    <r>
      <rPr>
        <sz val="10"/>
        <color indexed="56"/>
        <rFont val="Calibri"/>
        <family val="2"/>
      </rPr>
      <t>Δ</t>
    </r>
    <r>
      <rPr>
        <sz val="10"/>
        <color indexed="56"/>
        <rFont val="Arial"/>
        <family val="2"/>
      </rPr>
      <t>rs</t>
    </r>
    <r>
      <rPr>
        <sz val="12"/>
        <color indexed="56"/>
        <rFont val="Arial"/>
        <family val="2"/>
      </rPr>
      <t xml:space="preserve">) </t>
    </r>
  </si>
  <si>
    <t>dpt    cyl</t>
  </si>
  <si>
    <t xml:space="preserve">     :      sph</t>
  </si>
  <si>
    <t>Linsenempfehlung (astigm. Verhältnisse):</t>
  </si>
  <si>
    <r>
      <rPr>
        <sz val="10"/>
        <rFont val="Calibri"/>
        <family val="2"/>
      </rPr>
      <t>Δ</t>
    </r>
    <r>
      <rPr>
        <sz val="10"/>
        <rFont val="Arial"/>
        <family val="2"/>
      </rPr>
      <t xml:space="preserve"> rc</t>
    </r>
  </si>
  <si>
    <r>
      <t>Weich-KL</t>
    </r>
    <r>
      <rPr>
        <sz val="10"/>
        <rFont val="Calibri"/>
        <family val="2"/>
      </rPr>
      <t>Ø</t>
    </r>
  </si>
  <si>
    <r>
      <t>Harte-KL</t>
    </r>
    <r>
      <rPr>
        <sz val="10"/>
        <rFont val="Calibri"/>
        <family val="2"/>
      </rPr>
      <t>Ø</t>
    </r>
  </si>
  <si>
    <t>Lidspaltenhöhe</t>
  </si>
  <si>
    <t>HSA umrechnen von</t>
  </si>
  <si>
    <t>auf HSA = 0</t>
  </si>
  <si>
    <t>Minus-Zylinder</t>
  </si>
  <si>
    <t>Refraktion:</t>
  </si>
  <si>
    <t>HH-Zentralradien:</t>
  </si>
  <si>
    <t>gemessene Sagittalradien:</t>
  </si>
  <si>
    <t>Rs(nasal)=</t>
  </si>
  <si>
    <t>Rs(temporal)=</t>
  </si>
  <si>
    <t>Rs(inferior)=</t>
  </si>
  <si>
    <t>Rs(superior)=</t>
  </si>
  <si>
    <t>Messwinkel=</t>
  </si>
  <si>
    <t>a)</t>
  </si>
  <si>
    <t>b)</t>
  </si>
  <si>
    <t>c)</t>
  </si>
  <si>
    <t>d)</t>
  </si>
  <si>
    <t>rs(nasal)=</t>
  </si>
  <si>
    <t>rs(temporal)=</t>
  </si>
  <si>
    <t>e)</t>
  </si>
  <si>
    <t>rs(inferior)=</t>
  </si>
  <si>
    <t>rs(superior)=</t>
  </si>
  <si>
    <t>f)</t>
  </si>
  <si>
    <t>Exzentrizität im flachen Hornhautmeridian  -  Basiskurve berechnen</t>
  </si>
  <si>
    <t>ro</t>
  </si>
  <si>
    <t>g)</t>
  </si>
  <si>
    <t>angestrebte Anpassart:</t>
  </si>
  <si>
    <t>Modifikation=</t>
  </si>
  <si>
    <t>h)</t>
  </si>
  <si>
    <t>i)</t>
  </si>
  <si>
    <t>(</t>
  </si>
  <si>
    <t>)</t>
  </si>
  <si>
    <t>RD</t>
  </si>
  <si>
    <t>A</t>
  </si>
  <si>
    <t>BSL:</t>
  </si>
  <si>
    <t>gerundet</t>
  </si>
  <si>
    <t>S'KL(vollk.):</t>
  </si>
  <si>
    <t>Refraktion (HSA=0):</t>
  </si>
  <si>
    <t>Stabilisationsachse:</t>
  </si>
  <si>
    <t>Inklination:</t>
  </si>
  <si>
    <t>Messlinsen  SBW:</t>
  </si>
  <si>
    <t>Überrefraktion:</t>
  </si>
  <si>
    <t>Überrefraktion (HSA=0):</t>
  </si>
  <si>
    <t>Berechnung von standardtorischen und individuell torischen Weichlinsen   © Rainer Billert  28.04.2013</t>
  </si>
  <si>
    <t>Achsen</t>
  </si>
  <si>
    <t>:    sph</t>
  </si>
  <si>
    <t>Hartlinse:</t>
  </si>
  <si>
    <r>
      <t xml:space="preserve">Beste </t>
    </r>
    <r>
      <rPr>
        <sz val="10"/>
        <color indexed="55"/>
        <rFont val="Arial"/>
        <family val="2"/>
      </rPr>
      <t>a</t>
    </r>
    <r>
      <rPr>
        <sz val="10"/>
        <color indexed="56"/>
        <rFont val="Arial"/>
        <family val="2"/>
      </rPr>
      <t>sph. Hartlinse:</t>
    </r>
  </si>
  <si>
    <t>Refraktion (HSA=0)</t>
  </si>
  <si>
    <t>Beste sph. Hartlinse</t>
  </si>
  <si>
    <t xml:space="preserve"> (BSL)  AZ</t>
  </si>
  <si>
    <t>VP-Messlinsenparameter:</t>
  </si>
  <si>
    <r>
      <t>n</t>
    </r>
    <r>
      <rPr>
        <sz val="8"/>
        <color theme="0" tint="-0.499984740745262"/>
        <rFont val="Arial"/>
        <family val="2"/>
      </rPr>
      <t>(KL)</t>
    </r>
  </si>
  <si>
    <t>D2(</t>
  </si>
  <si>
    <t>)°</t>
  </si>
  <si>
    <t>D1(</t>
  </si>
  <si>
    <t>r1(</t>
  </si>
  <si>
    <t>Fronttorus VT</t>
  </si>
  <si>
    <t>Berechnung der Vorderflächenradien einer VPT-Linse   © Rainer Billert  30.04.2013</t>
  </si>
  <si>
    <t>VP-Messlinsen  SBW:</t>
  </si>
  <si>
    <t>VPT-Fronttorus</t>
  </si>
  <si>
    <t>ro(flach)  A 0°</t>
  </si>
  <si>
    <t>ro(steil)  A 90°</t>
  </si>
  <si>
    <t>dpt  in 0°</t>
  </si>
  <si>
    <t>ind Ast:</t>
  </si>
  <si>
    <t>A 90°</t>
  </si>
  <si>
    <t>BTC-Messlinsenparameter:</t>
  </si>
  <si>
    <t>BTC-Messlinsen  SBW:</t>
  </si>
  <si>
    <r>
      <t>HH</t>
    </r>
    <r>
      <rPr>
        <sz val="10"/>
        <color theme="1" tint="0.249977111117893"/>
        <rFont val="Calibri"/>
        <family val="2"/>
      </rPr>
      <t>Ø</t>
    </r>
    <r>
      <rPr>
        <sz val="10"/>
        <color theme="1" tint="0.249977111117893"/>
        <rFont val="Arial"/>
        <family val="2"/>
      </rPr>
      <t>(hor)</t>
    </r>
  </si>
  <si>
    <r>
      <t>HH</t>
    </r>
    <r>
      <rPr>
        <sz val="10"/>
        <color theme="1" tint="0.249977111117893"/>
        <rFont val="Calibri"/>
        <family val="2"/>
      </rPr>
      <t>Ø</t>
    </r>
    <r>
      <rPr>
        <sz val="10"/>
        <color theme="1" tint="0.249977111117893"/>
        <rFont val="Arial"/>
        <family val="2"/>
      </rPr>
      <t>(ver)</t>
    </r>
  </si>
  <si>
    <t>HH-Radien:</t>
  </si>
  <si>
    <t>Augenmaße:</t>
  </si>
  <si>
    <t>Refraktion  (HSA=0)</t>
  </si>
  <si>
    <t>Zylinder</t>
  </si>
  <si>
    <t>HH-Radienauswertung:</t>
  </si>
  <si>
    <t>Zentralradien:</t>
  </si>
  <si>
    <t>HHA  ≈</t>
  </si>
  <si>
    <t>GA    ≈</t>
  </si>
  <si>
    <t>IA     ≈</t>
  </si>
  <si>
    <t>Linsenempfehlung:</t>
  </si>
  <si>
    <t>LSH-Wertung:</t>
  </si>
  <si>
    <t>Bogenmaß Messwinkel</t>
  </si>
  <si>
    <r>
      <rPr>
        <sz val="14"/>
        <rFont val="Calibri"/>
        <family val="2"/>
      </rPr>
      <t>ε</t>
    </r>
    <r>
      <rPr>
        <sz val="8"/>
        <rFont val="Arial"/>
        <family val="2"/>
      </rPr>
      <t>(HH)flach 30°</t>
    </r>
  </si>
  <si>
    <r>
      <rPr>
        <sz val="14"/>
        <rFont val="Calibri"/>
        <family val="2"/>
      </rPr>
      <t>ε</t>
    </r>
    <r>
      <rPr>
        <sz val="8"/>
        <rFont val="Arial"/>
        <family val="2"/>
      </rPr>
      <t>(HH)ges 30°</t>
    </r>
  </si>
  <si>
    <r>
      <rPr>
        <sz val="14"/>
        <rFont val="Calibri"/>
        <family val="2"/>
      </rPr>
      <t>ε</t>
    </r>
    <r>
      <rPr>
        <sz val="8"/>
        <rFont val="Arial"/>
        <family val="2"/>
      </rPr>
      <t>(HH)flach  30°</t>
    </r>
  </si>
  <si>
    <t>HL-Rückfläche:</t>
  </si>
  <si>
    <t>/</t>
  </si>
  <si>
    <t>Alternative:</t>
  </si>
  <si>
    <t>Hartlinsenvorschlag (RS):</t>
  </si>
  <si>
    <t>Weichlinsenvorschlag:</t>
  </si>
  <si>
    <t>°   /  Ø</t>
  </si>
  <si>
    <t>Hartlinsenvorschlag (RT):</t>
  </si>
  <si>
    <t>der Scheitelbrechwert ist für den flachen Radius berechnet</t>
  </si>
  <si>
    <t>Zentraltorus:</t>
  </si>
  <si>
    <t>(ro</t>
  </si>
  <si>
    <r>
      <t xml:space="preserve">   </t>
    </r>
    <r>
      <rPr>
        <sz val="10"/>
        <rFont val="Calibri"/>
        <family val="2"/>
      </rPr>
      <t>→</t>
    </r>
    <r>
      <rPr>
        <sz val="12"/>
        <rFont val="Arial"/>
        <family val="2"/>
      </rPr>
      <t xml:space="preserve">    </t>
    </r>
    <r>
      <rPr>
        <sz val="10"/>
        <rFont val="Arial"/>
        <family val="2"/>
      </rPr>
      <t>AZ =</t>
    </r>
  </si>
  <si>
    <r>
      <t xml:space="preserve">mm </t>
    </r>
    <r>
      <rPr>
        <sz val="10"/>
        <color indexed="56"/>
        <rFont val="Calibri"/>
        <family val="2"/>
      </rPr>
      <t>≈</t>
    </r>
  </si>
  <si>
    <t>Gesamtexzentrizität  -&gt;  Sphäre oder Asphäre festlegen</t>
  </si>
  <si>
    <t>Exzentrizität im flachen Hornhautmeridian  -&gt;  Basiskurve für Gleichlaufmethode berechnen</t>
  </si>
  <si>
    <t>Durchmesserwahl abhängig von der Lidspaltenhöhe:</t>
  </si>
  <si>
    <t>(Pluszylinderschreibweise)</t>
  </si>
  <si>
    <t>Astigmatismusarten:</t>
  </si>
  <si>
    <r>
      <rPr>
        <sz val="14"/>
        <color theme="1" tint="0.249977111117893"/>
        <rFont val="Calibri"/>
        <family val="2"/>
      </rPr>
      <t>ε</t>
    </r>
    <r>
      <rPr>
        <sz val="8"/>
        <color theme="1" tint="0.249977111117893"/>
        <rFont val="Arial"/>
        <family val="2"/>
      </rPr>
      <t>(HH)ges 30° =</t>
    </r>
  </si>
  <si>
    <r>
      <rPr>
        <sz val="14"/>
        <color theme="1" tint="0.249977111117893"/>
        <rFont val="Calibri"/>
        <family val="2"/>
      </rPr>
      <t>ε</t>
    </r>
    <r>
      <rPr>
        <sz val="8"/>
        <color theme="1" tint="0.249977111117893"/>
        <rFont val="Arial"/>
        <family val="2"/>
      </rPr>
      <t>(HH)flach 30° =</t>
    </r>
  </si>
  <si>
    <r>
      <t>Weich-KL</t>
    </r>
    <r>
      <rPr>
        <sz val="10"/>
        <color theme="1" tint="0.249977111117893"/>
        <rFont val="Calibri"/>
        <family val="2"/>
      </rPr>
      <t>Ø =</t>
    </r>
  </si>
  <si>
    <t>Pluszylinder-Schreibweise</t>
  </si>
  <si>
    <t>Begründung:</t>
  </si>
  <si>
    <t>© Rainer Billert   c/o  Optonia   15.05.2013</t>
  </si>
  <si>
    <t>Linsenvorschläge:</t>
  </si>
  <si>
    <t>Refraktion (HSA = 0):</t>
  </si>
  <si>
    <t>Messwinkel:</t>
  </si>
  <si>
    <t>(Linsentypwahl)</t>
  </si>
  <si>
    <r>
      <rPr>
        <sz val="14"/>
        <rFont val="Calibri"/>
        <family val="2"/>
      </rPr>
      <t>ε</t>
    </r>
    <r>
      <rPr>
        <sz val="8"/>
        <rFont val="Arial"/>
        <family val="2"/>
      </rPr>
      <t xml:space="preserve">(HH)ges 30° </t>
    </r>
    <r>
      <rPr>
        <sz val="10"/>
        <rFont val="Arial"/>
        <family val="2"/>
      </rPr>
      <t>=</t>
    </r>
  </si>
  <si>
    <r>
      <rPr>
        <sz val="14"/>
        <rFont val="Calibri"/>
        <family val="2"/>
      </rPr>
      <t>ε</t>
    </r>
    <r>
      <rPr>
        <sz val="8"/>
        <rFont val="Arial"/>
        <family val="2"/>
      </rPr>
      <t xml:space="preserve">(HH)flach 30° </t>
    </r>
    <r>
      <rPr>
        <sz val="10"/>
        <rFont val="Arial"/>
        <family val="2"/>
      </rPr>
      <t>=</t>
    </r>
  </si>
  <si>
    <r>
      <rPr>
        <sz val="14"/>
        <rFont val="Calibri"/>
        <family val="2"/>
      </rPr>
      <t>ε</t>
    </r>
    <r>
      <rPr>
        <sz val="8"/>
        <rFont val="Arial"/>
        <family val="2"/>
      </rPr>
      <t xml:space="preserve">KL </t>
    </r>
    <r>
      <rPr>
        <sz val="10"/>
        <rFont val="Arial"/>
        <family val="2"/>
      </rPr>
      <t>=</t>
    </r>
  </si>
  <si>
    <t>ro  ≈</t>
  </si>
  <si>
    <t>Harte-KLØ =</t>
  </si>
  <si>
    <t>PT =</t>
  </si>
  <si>
    <t>mm   ---&gt;</t>
  </si>
  <si>
    <t>RT=</t>
  </si>
  <si>
    <t>Vollkorrigierende Hartlinse:</t>
  </si>
  <si>
    <t>S'KL:</t>
  </si>
  <si>
    <t>RS-Hartlinse:</t>
  </si>
  <si>
    <t>S'KL</t>
  </si>
  <si>
    <t>GRD=</t>
  </si>
  <si>
    <t>ÜR=</t>
  </si>
  <si>
    <t>Berechnung der theoretischen Überrefraktion über eine sph. Hartlinse     © Rainer Billert  13.06.2014</t>
  </si>
  <si>
    <t>Download neuste Version</t>
  </si>
  <si>
    <r>
      <rPr>
        <sz val="14"/>
        <color theme="6" tint="0.59999389629810485"/>
        <rFont val="Calibri"/>
        <family val="2"/>
      </rPr>
      <t>ε</t>
    </r>
    <r>
      <rPr>
        <sz val="8"/>
        <color theme="6" tint="0.59999389629810485"/>
        <rFont val="Arial"/>
        <family val="2"/>
      </rPr>
      <t>(HH)ges 30° =</t>
    </r>
  </si>
  <si>
    <r>
      <rPr>
        <sz val="14"/>
        <color theme="6" tint="0.59999389629810485"/>
        <rFont val="Calibri"/>
        <family val="2"/>
      </rPr>
      <t>ε</t>
    </r>
    <r>
      <rPr>
        <sz val="8"/>
        <color theme="6" tint="0.59999389629810485"/>
        <rFont val="Arial"/>
        <family val="2"/>
      </rPr>
      <t>(HH)flach 30° =</t>
    </r>
  </si>
  <si>
    <r>
      <t>Weich-KL</t>
    </r>
    <r>
      <rPr>
        <sz val="10"/>
        <color theme="6" tint="0.59999389629810485"/>
        <rFont val="Calibri"/>
        <family val="2"/>
      </rPr>
      <t>Ø =</t>
    </r>
  </si>
  <si>
    <t>:</t>
  </si>
  <si>
    <t>Anpassart</t>
  </si>
  <si>
    <t xml:space="preserve">Messlinsenberechnung © Rainer Billert 24.7.2014 </t>
  </si>
  <si>
    <t xml:space="preserve"> Alternative AZ</t>
  </si>
  <si>
    <t>Exzentrizitätsberechnung Handy</t>
  </si>
  <si>
    <r>
      <rPr>
        <sz val="10"/>
        <color theme="0" tint="-0.34998626667073579"/>
        <rFont val="Calibri"/>
        <family val="2"/>
      </rPr>
      <t>Δ</t>
    </r>
    <r>
      <rPr>
        <sz val="10"/>
        <color theme="0" tint="-0.34998626667073579"/>
        <rFont val="Arial"/>
        <family val="2"/>
      </rPr>
      <t xml:space="preserve"> rc</t>
    </r>
  </si>
  <si>
    <r>
      <rPr>
        <sz val="14"/>
        <color theme="0" tint="-0.34998626667073579"/>
        <rFont val="Calibri"/>
        <family val="2"/>
      </rPr>
      <t>ε</t>
    </r>
    <r>
      <rPr>
        <sz val="8"/>
        <color theme="0" tint="-0.34998626667073579"/>
        <rFont val="Arial"/>
        <family val="2"/>
      </rPr>
      <t>(HH)ges</t>
    </r>
  </si>
  <si>
    <r>
      <rPr>
        <sz val="14"/>
        <color theme="0" tint="-0.34998626667073579"/>
        <rFont val="Calibri"/>
        <family val="2"/>
      </rPr>
      <t>ε</t>
    </r>
    <r>
      <rPr>
        <sz val="8"/>
        <color theme="0" tint="-0.34998626667073579"/>
        <rFont val="Arial"/>
        <family val="2"/>
      </rPr>
      <t>(HH)ges 30°</t>
    </r>
  </si>
  <si>
    <r>
      <rPr>
        <sz val="14"/>
        <color theme="0" tint="-0.34998626667073579"/>
        <rFont val="Calibri"/>
        <family val="2"/>
      </rPr>
      <t>ε</t>
    </r>
    <r>
      <rPr>
        <sz val="8"/>
        <color theme="0" tint="-0.34998626667073579"/>
        <rFont val="Arial"/>
        <family val="2"/>
      </rPr>
      <t>(HH)flach</t>
    </r>
  </si>
  <si>
    <r>
      <rPr>
        <sz val="14"/>
        <color theme="0" tint="-0.34998626667073579"/>
        <rFont val="Calibri"/>
        <family val="2"/>
      </rPr>
      <t>ε</t>
    </r>
    <r>
      <rPr>
        <sz val="8"/>
        <color theme="0" tint="-0.34998626667073579"/>
        <rFont val="Arial"/>
        <family val="2"/>
      </rPr>
      <t>(HH)flach 30°</t>
    </r>
  </si>
  <si>
    <r>
      <rPr>
        <sz val="14"/>
        <color theme="0" tint="-0.34998626667073579"/>
        <rFont val="Calibri"/>
        <family val="2"/>
      </rPr>
      <t>ε</t>
    </r>
    <r>
      <rPr>
        <sz val="8"/>
        <color theme="0" tint="-0.34998626667073579"/>
        <rFont val="Arial"/>
        <family val="2"/>
      </rPr>
      <t>KL</t>
    </r>
  </si>
  <si>
    <r>
      <rPr>
        <sz val="14"/>
        <color theme="0" tint="-0.34998626667073579"/>
        <rFont val="Calibri"/>
        <family val="2"/>
      </rPr>
      <t>ε</t>
    </r>
    <r>
      <rPr>
        <sz val="8"/>
        <color theme="0" tint="-0.34998626667073579"/>
        <rFont val="Arial"/>
        <family val="2"/>
      </rPr>
      <t>(HH)flach  30°</t>
    </r>
  </si>
  <si>
    <r>
      <t xml:space="preserve">   </t>
    </r>
    <r>
      <rPr>
        <sz val="10"/>
        <color theme="0" tint="-0.34998626667073579"/>
        <rFont val="Calibri"/>
        <family val="2"/>
      </rPr>
      <t>→</t>
    </r>
    <r>
      <rPr>
        <sz val="12"/>
        <color theme="0" tint="-0.34998626667073579"/>
        <rFont val="Arial"/>
        <family val="2"/>
      </rPr>
      <t xml:space="preserve">    </t>
    </r>
    <r>
      <rPr>
        <sz val="10"/>
        <color theme="0" tint="-0.34998626667073579"/>
        <rFont val="Arial"/>
        <family val="2"/>
      </rPr>
      <t>AZ =</t>
    </r>
  </si>
  <si>
    <r>
      <rPr>
        <sz val="16"/>
        <color theme="0"/>
        <rFont val="Calibri"/>
        <family val="2"/>
      </rPr>
      <t>ε</t>
    </r>
    <r>
      <rPr>
        <sz val="16"/>
        <color theme="0"/>
        <rFont val="Arial"/>
        <family val="2"/>
      </rPr>
      <t>(HH)ges 30° =</t>
    </r>
  </si>
  <si>
    <r>
      <rPr>
        <sz val="16"/>
        <color theme="0"/>
        <rFont val="Calibri"/>
        <family val="2"/>
      </rPr>
      <t>ε</t>
    </r>
    <r>
      <rPr>
        <sz val="16"/>
        <color theme="0"/>
        <rFont val="Arial"/>
        <family val="2"/>
      </rPr>
      <t>(HH)flach 30° =</t>
    </r>
  </si>
  <si>
    <t>(normal ist zw. 7,4 und 8,2mm)</t>
  </si>
  <si>
    <t>Sagittalradien korrigieren:</t>
  </si>
  <si>
    <t>Astigm. Verhältnisse:</t>
  </si>
  <si>
    <t>rc(gesamt)=</t>
  </si>
  <si>
    <t>rs(gesamt)=</t>
  </si>
  <si>
    <t>rc(flach)=</t>
  </si>
  <si>
    <t>rs(flach)=</t>
  </si>
  <si>
    <t>Scheitelbrechwertberechnung mit Tränenlinsenschätzformel:</t>
  </si>
  <si>
    <t>Durchmesser:</t>
  </si>
  <si>
    <t xml:space="preserve">Periphertorus: </t>
  </si>
  <si>
    <t>RS - Messlinsenergebnis:   Ideale Hartlinse und Alternativlinse:</t>
  </si>
  <si>
    <t>Ideale Linse:</t>
  </si>
  <si>
    <t>Alternativlinse:</t>
  </si>
  <si>
    <t>(normal ist 0,1 bis 0,3mm)</t>
  </si>
  <si>
    <t>SRM-Übung  / RS  und  RT - Hartlinsenberechnung  /  Weichlinsenberechnung</t>
  </si>
  <si>
    <t xml:space="preserve">Version: </t>
  </si>
  <si>
    <t>© Rainer Billert   c/o  Optonia   16.11.2015</t>
  </si>
  <si>
    <t>(1=Hydrogel einkurvig  2=Hydrogel mehrkurvig  3=individuelle Benz / SiHy)</t>
  </si>
  <si>
    <t>Erfahrungswert     e=</t>
  </si>
  <si>
    <t>WL-Geometrie</t>
  </si>
  <si>
    <t>D2(90°) =</t>
  </si>
  <si>
    <t>dpt  in 90°</t>
  </si>
  <si>
    <t>Berechnung der Vorderflächenradien einer BTC-Linse   © Rainer Billert  30.05.2017</t>
  </si>
  <si>
    <t>Berechnung der vollkorrigierenden und besten sphärischen Hartlinse     © Rainer Billert  19.03.2018</t>
  </si>
  <si>
    <t>Auswertung der Sagittalradienmessmethode und Messlinsenberechnung  © Rainer Billert  18.10.2018  (Beta-Version)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</si>
</sst>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"/>
    <numFmt numFmtId="165" formatCode="0.0"/>
    <numFmt numFmtId="166" formatCode="_-* #,##0.00\ [$€-1]_-;\-* #,##0.00\ [$€-1]_-;_-* &quot;-&quot;??\ [$€-1]_-"/>
    <numFmt numFmtId="167" formatCode="0.0000"/>
  </numFmts>
  <fonts count="6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Wingdings"/>
      <charset val="2"/>
    </font>
    <font>
      <sz val="14"/>
      <name val="Calibri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Calibri"/>
      <family val="2"/>
    </font>
    <font>
      <sz val="10"/>
      <color indexed="55"/>
      <name val="Arial"/>
      <family val="2"/>
    </font>
    <font>
      <sz val="10"/>
      <color indexed="56"/>
      <name val="Calibri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0"/>
      <color theme="0" tint="-0.499984740745262"/>
      <name val="Arial"/>
      <family val="2"/>
    </font>
    <font>
      <i/>
      <sz val="10"/>
      <color theme="3"/>
      <name val="Arial"/>
      <family val="2"/>
    </font>
    <font>
      <sz val="10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sz val="10"/>
      <color theme="3"/>
      <name val="Arial"/>
      <family val="2"/>
    </font>
    <font>
      <sz val="10"/>
      <color rgb="FF002060"/>
      <name val="Arial"/>
      <family val="2"/>
    </font>
    <font>
      <sz val="10"/>
      <color rgb="FF7030A0"/>
      <name val="Arial"/>
      <family val="2"/>
    </font>
    <font>
      <sz val="8"/>
      <color rgb="FFC00000"/>
      <name val="Arial"/>
      <family val="2"/>
    </font>
    <font>
      <sz val="8"/>
      <color theme="0" tint="-0.499984740745262"/>
      <name val="Arial"/>
      <family val="2"/>
    </font>
    <font>
      <sz val="5"/>
      <color theme="0" tint="-4.9989318521683403E-2"/>
      <name val="Arial"/>
      <family val="2"/>
    </font>
    <font>
      <i/>
      <sz val="10"/>
      <color rgb="FF002060"/>
      <name val="Arial"/>
      <family val="2"/>
    </font>
    <font>
      <u/>
      <sz val="10"/>
      <color rgb="FF002060"/>
      <name val="Arial"/>
      <family val="2"/>
    </font>
    <font>
      <sz val="10"/>
      <color theme="1" tint="0.249977111117893"/>
      <name val="Arial"/>
      <family val="2"/>
    </font>
    <font>
      <sz val="10"/>
      <color theme="1" tint="0.249977111117893"/>
      <name val="Calibri"/>
      <family val="2"/>
    </font>
    <font>
      <u/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Arial"/>
      <family val="2"/>
    </font>
    <font>
      <sz val="14"/>
      <color theme="1" tint="0.249977111117893"/>
      <name val="Calibri"/>
      <family val="2"/>
    </font>
    <font>
      <sz val="8"/>
      <color theme="1" tint="0.249977111117893"/>
      <name val="Arial"/>
      <family val="2"/>
    </font>
    <font>
      <sz val="10"/>
      <color theme="4" tint="-0.249977111117893"/>
      <name val="Calibri"/>
      <family val="2"/>
    </font>
    <font>
      <sz val="10"/>
      <color theme="1" tint="0.499984740745262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u/>
      <sz val="8"/>
      <color theme="10"/>
      <name val="Arial"/>
      <family val="2"/>
    </font>
    <font>
      <u/>
      <sz val="24"/>
      <color theme="10"/>
      <name val="Arial"/>
      <family val="2"/>
    </font>
    <font>
      <u/>
      <sz val="10"/>
      <color theme="6" tint="0.59999389629810485"/>
      <name val="Arial"/>
      <family val="2"/>
    </font>
    <font>
      <sz val="10"/>
      <color theme="6" tint="0.59999389629810485"/>
      <name val="Arial"/>
      <family val="2"/>
    </font>
    <font>
      <sz val="14"/>
      <color theme="6" tint="0.59999389629810485"/>
      <name val="Calibri"/>
      <family val="2"/>
    </font>
    <font>
      <sz val="8"/>
      <color theme="6" tint="0.59999389629810485"/>
      <name val="Arial"/>
      <family val="2"/>
    </font>
    <font>
      <sz val="10"/>
      <color theme="6" tint="0.59999389629810485"/>
      <name val="Calibri"/>
      <family val="2"/>
    </font>
    <font>
      <sz val="10"/>
      <color theme="0" tint="-0.34998626667073579"/>
      <name val="Calibri"/>
      <family val="2"/>
    </font>
    <font>
      <sz val="14"/>
      <color theme="0" tint="-0.34998626667073579"/>
      <name val="Calibri"/>
      <family val="2"/>
    </font>
    <font>
      <sz val="8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6"/>
      <color theme="0"/>
      <name val="Arial"/>
      <family val="2"/>
    </font>
    <font>
      <u/>
      <sz val="16"/>
      <color theme="1"/>
      <name val="Arial"/>
      <family val="2"/>
    </font>
    <font>
      <sz val="16"/>
      <name val="Arial"/>
      <family val="2"/>
    </font>
    <font>
      <sz val="16"/>
      <color theme="1" tint="0.249977111117893"/>
      <name val="Arial"/>
      <family val="2"/>
    </font>
    <font>
      <sz val="16"/>
      <color theme="3"/>
      <name val="Arial"/>
      <family val="2"/>
    </font>
    <font>
      <u/>
      <sz val="16"/>
      <name val="Arial"/>
      <family val="2"/>
    </font>
    <font>
      <sz val="16"/>
      <color theme="0"/>
      <name val="Calibri"/>
      <family val="2"/>
    </font>
    <font>
      <sz val="6"/>
      <name val="Arial"/>
      <family val="2"/>
    </font>
    <font>
      <sz val="10"/>
      <color theme="6" tint="0.39997558519241921"/>
      <name val="Arial"/>
      <family val="2"/>
    </font>
    <font>
      <u/>
      <sz val="10"/>
      <color theme="6" tint="0.3999755851924192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504">
    <xf numFmtId="0" fontId="0" fillId="0" borderId="0" xfId="0"/>
    <xf numFmtId="0" fontId="1" fillId="0" borderId="0" xfId="0" applyFont="1" applyFill="1" applyBorder="1" applyAlignment="1">
      <alignment horizontal="right"/>
    </xf>
    <xf numFmtId="0" fontId="1" fillId="6" borderId="0" xfId="0" applyFont="1" applyFill="1" applyAlignment="1">
      <alignment horizontal="right" vertical="center"/>
    </xf>
    <xf numFmtId="2" fontId="0" fillId="6" borderId="0" xfId="0" applyNumberForma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right"/>
    </xf>
    <xf numFmtId="0" fontId="0" fillId="6" borderId="0" xfId="0" applyFill="1"/>
    <xf numFmtId="0" fontId="19" fillId="4" borderId="10" xfId="0" applyFont="1" applyFill="1" applyBorder="1" applyAlignment="1" applyProtection="1">
      <alignment horizontal="center"/>
      <protection locked="0"/>
    </xf>
    <xf numFmtId="2" fontId="19" fillId="4" borderId="10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right"/>
    </xf>
    <xf numFmtId="0" fontId="14" fillId="6" borderId="0" xfId="0" applyFont="1" applyFill="1"/>
    <xf numFmtId="0" fontId="6" fillId="6" borderId="0" xfId="0" applyFont="1" applyFill="1" applyAlignment="1">
      <alignment horizontal="right"/>
    </xf>
    <xf numFmtId="0" fontId="14" fillId="6" borderId="0" xfId="0" applyFont="1" applyFill="1" applyAlignment="1">
      <alignment horizontal="left" vertical="center"/>
    </xf>
    <xf numFmtId="0" fontId="14" fillId="6" borderId="0" xfId="0" applyFont="1" applyFill="1" applyAlignment="1">
      <alignment horizontal="right"/>
    </xf>
    <xf numFmtId="0" fontId="0" fillId="6" borderId="0" xfId="0" applyFill="1" applyAlignment="1">
      <alignment horizontal="center"/>
    </xf>
    <xf numFmtId="0" fontId="6" fillId="6" borderId="0" xfId="0" applyFont="1" applyFill="1" applyAlignment="1">
      <alignment horizontal="right" vertical="center"/>
    </xf>
    <xf numFmtId="0" fontId="21" fillId="6" borderId="0" xfId="0" applyFont="1" applyFill="1"/>
    <xf numFmtId="0" fontId="22" fillId="6" borderId="0" xfId="0" applyFont="1" applyFill="1" applyAlignment="1">
      <alignment vertical="center"/>
    </xf>
    <xf numFmtId="0" fontId="23" fillId="6" borderId="0" xfId="0" applyFont="1" applyFill="1"/>
    <xf numFmtId="0" fontId="0" fillId="7" borderId="0" xfId="0" applyFill="1"/>
    <xf numFmtId="0" fontId="1" fillId="7" borderId="0" xfId="0" applyFont="1" applyFill="1" applyAlignment="1">
      <alignment horizontal="right" vertical="center"/>
    </xf>
    <xf numFmtId="2" fontId="1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left" vertical="center"/>
    </xf>
    <xf numFmtId="0" fontId="1" fillId="7" borderId="0" xfId="0" applyFont="1" applyFill="1"/>
    <xf numFmtId="0" fontId="12" fillId="7" borderId="0" xfId="0" applyFont="1" applyFill="1" applyAlignment="1">
      <alignment horizontal="left" vertical="center"/>
    </xf>
    <xf numFmtId="0" fontId="20" fillId="6" borderId="0" xfId="0" applyFont="1" applyFill="1"/>
    <xf numFmtId="2" fontId="20" fillId="6" borderId="0" xfId="0" applyNumberFormat="1" applyFont="1" applyFill="1"/>
    <xf numFmtId="0" fontId="20" fillId="6" borderId="0" xfId="0" applyFont="1" applyFill="1" applyAlignment="1">
      <alignment horizontal="right" vertical="center"/>
    </xf>
    <xf numFmtId="2" fontId="1" fillId="6" borderId="0" xfId="0" applyNumberFormat="1" applyFont="1" applyFill="1" applyAlignment="1">
      <alignment horizontal="center" vertical="center"/>
    </xf>
    <xf numFmtId="0" fontId="24" fillId="4" borderId="11" xfId="0" applyFont="1" applyFill="1" applyBorder="1"/>
    <xf numFmtId="0" fontId="24" fillId="4" borderId="12" xfId="0" applyFont="1" applyFill="1" applyBorder="1" applyAlignment="1">
      <alignment horizontal="right"/>
    </xf>
    <xf numFmtId="0" fontId="24" fillId="4" borderId="12" xfId="0" applyFont="1" applyFill="1" applyBorder="1"/>
    <xf numFmtId="2" fontId="24" fillId="4" borderId="12" xfId="0" applyNumberFormat="1" applyFont="1" applyFill="1" applyBorder="1" applyAlignment="1">
      <alignment horizontal="center"/>
    </xf>
    <xf numFmtId="2" fontId="24" fillId="4" borderId="12" xfId="0" applyNumberFormat="1" applyFont="1" applyFill="1" applyBorder="1"/>
    <xf numFmtId="0" fontId="24" fillId="4" borderId="13" xfId="0" applyFont="1" applyFill="1" applyBorder="1"/>
    <xf numFmtId="0" fontId="1" fillId="6" borderId="0" xfId="0" applyFont="1" applyFill="1"/>
    <xf numFmtId="2" fontId="6" fillId="6" borderId="0" xfId="0" applyNumberFormat="1" applyFont="1" applyFill="1" applyAlignment="1">
      <alignment horizontal="right" vertical="center"/>
    </xf>
    <xf numFmtId="0" fontId="19" fillId="5" borderId="23" xfId="0" applyFont="1" applyFill="1" applyBorder="1" applyAlignment="1">
      <alignment horizontal="right" vertical="center"/>
    </xf>
    <xf numFmtId="0" fontId="19" fillId="5" borderId="24" xfId="0" applyFont="1" applyFill="1" applyBorder="1" applyAlignment="1">
      <alignment horizontal="center" vertical="center"/>
    </xf>
    <xf numFmtId="0" fontId="19" fillId="5" borderId="24" xfId="0" applyFont="1" applyFill="1" applyBorder="1"/>
    <xf numFmtId="2" fontId="25" fillId="5" borderId="24" xfId="0" applyNumberFormat="1" applyFont="1" applyFill="1" applyBorder="1" applyAlignment="1">
      <alignment horizontal="right" vertical="center"/>
    </xf>
    <xf numFmtId="0" fontId="19" fillId="5" borderId="25" xfId="0" applyFont="1" applyFill="1" applyBorder="1"/>
    <xf numFmtId="0" fontId="19" fillId="5" borderId="23" xfId="0" applyFont="1" applyFill="1" applyBorder="1" applyAlignment="1">
      <alignment horizontal="right"/>
    </xf>
    <xf numFmtId="0" fontId="19" fillId="5" borderId="24" xfId="0" applyFont="1" applyFill="1" applyBorder="1" applyAlignment="1">
      <alignment horizontal="right"/>
    </xf>
    <xf numFmtId="164" fontId="19" fillId="5" borderId="24" xfId="0" applyNumberFormat="1" applyFont="1" applyFill="1" applyBorder="1" applyAlignment="1">
      <alignment horizontal="right"/>
    </xf>
    <xf numFmtId="0" fontId="19" fillId="5" borderId="25" xfId="0" applyFont="1" applyFill="1" applyBorder="1" applyAlignment="1">
      <alignment horizontal="right"/>
    </xf>
    <xf numFmtId="2" fontId="0" fillId="6" borderId="0" xfId="0" applyNumberFormat="1" applyFill="1"/>
    <xf numFmtId="2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right"/>
    </xf>
    <xf numFmtId="0" fontId="35" fillId="8" borderId="4" xfId="0" applyFont="1" applyFill="1" applyBorder="1"/>
    <xf numFmtId="0" fontId="36" fillId="8" borderId="1" xfId="0" applyFont="1" applyFill="1" applyBorder="1" applyAlignment="1">
      <alignment vertical="center"/>
    </xf>
    <xf numFmtId="0" fontId="35" fillId="8" borderId="1" xfId="0" applyFont="1" applyFill="1" applyBorder="1" applyAlignment="1">
      <alignment vertical="center"/>
    </xf>
    <xf numFmtId="2" fontId="1" fillId="0" borderId="0" xfId="0" applyNumberFormat="1" applyFont="1" applyFill="1"/>
    <xf numFmtId="0" fontId="1" fillId="0" borderId="0" xfId="0" applyFont="1" applyFill="1"/>
    <xf numFmtId="0" fontId="13" fillId="8" borderId="0" xfId="0" applyFont="1" applyFill="1" applyBorder="1" applyAlignment="1">
      <alignment vertical="center"/>
    </xf>
    <xf numFmtId="2" fontId="12" fillId="8" borderId="0" xfId="0" applyNumberFormat="1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" fillId="6" borderId="0" xfId="0" applyFont="1" applyFill="1" applyBorder="1"/>
    <xf numFmtId="0" fontId="1" fillId="6" borderId="0" xfId="0" applyFont="1" applyFill="1" applyBorder="1" applyAlignment="1">
      <alignment vertical="center"/>
    </xf>
    <xf numFmtId="2" fontId="1" fillId="6" borderId="0" xfId="0" applyNumberFormat="1" applyFont="1" applyFill="1"/>
    <xf numFmtId="0" fontId="14" fillId="6" borderId="0" xfId="0" applyFont="1" applyFill="1" applyBorder="1" applyAlignment="1">
      <alignment vertical="center"/>
    </xf>
    <xf numFmtId="14" fontId="12" fillId="6" borderId="0" xfId="0" applyNumberFormat="1" applyFont="1" applyFill="1" applyBorder="1" applyAlignment="1">
      <alignment vertical="center"/>
    </xf>
    <xf numFmtId="0" fontId="12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28" fillId="6" borderId="0" xfId="0" applyFont="1" applyFill="1" applyBorder="1"/>
    <xf numFmtId="2" fontId="12" fillId="6" borderId="0" xfId="0" applyNumberFormat="1" applyFont="1" applyFill="1" applyBorder="1"/>
    <xf numFmtId="0" fontId="16" fillId="6" borderId="17" xfId="0" applyFont="1" applyFill="1" applyBorder="1" applyAlignment="1">
      <alignment horizontal="left"/>
    </xf>
    <xf numFmtId="0" fontId="16" fillId="6" borderId="17" xfId="0" applyFont="1" applyFill="1" applyBorder="1"/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/>
    <xf numFmtId="0" fontId="14" fillId="6" borderId="0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right"/>
    </xf>
    <xf numFmtId="0" fontId="16" fillId="6" borderId="0" xfId="0" applyFont="1" applyFill="1" applyBorder="1"/>
    <xf numFmtId="0" fontId="26" fillId="6" borderId="0" xfId="0" applyFont="1" applyFill="1" applyBorder="1"/>
    <xf numFmtId="0" fontId="26" fillId="6" borderId="0" xfId="0" applyFont="1" applyFill="1" applyBorder="1" applyAlignment="1">
      <alignment horizontal="right"/>
    </xf>
    <xf numFmtId="2" fontId="29" fillId="6" borderId="0" xfId="0" applyNumberFormat="1" applyFont="1" applyFill="1"/>
    <xf numFmtId="0" fontId="29" fillId="6" borderId="0" xfId="0" applyFont="1" applyFill="1" applyBorder="1"/>
    <xf numFmtId="0" fontId="29" fillId="6" borderId="0" xfId="0" applyFont="1" applyFill="1"/>
    <xf numFmtId="2" fontId="16" fillId="6" borderId="0" xfId="0" applyNumberFormat="1" applyFont="1" applyFill="1" applyBorder="1"/>
    <xf numFmtId="0" fontId="1" fillId="6" borderId="0" xfId="0" applyFont="1" applyFill="1" applyBorder="1" applyAlignment="1">
      <alignment horizontal="left"/>
    </xf>
    <xf numFmtId="0" fontId="34" fillId="6" borderId="0" xfId="0" applyFont="1" applyFill="1" applyBorder="1"/>
    <xf numFmtId="0" fontId="34" fillId="6" borderId="0" xfId="0" applyFont="1" applyFill="1"/>
    <xf numFmtId="1" fontId="1" fillId="6" borderId="0" xfId="0" applyNumberFormat="1" applyFont="1" applyFill="1" applyAlignment="1">
      <alignment horizontal="center" vertical="center"/>
    </xf>
    <xf numFmtId="2" fontId="1" fillId="6" borderId="0" xfId="0" applyNumberFormat="1" applyFont="1" applyFill="1" applyBorder="1"/>
    <xf numFmtId="0" fontId="30" fillId="6" borderId="0" xfId="0" applyFont="1" applyFill="1" applyBorder="1"/>
    <xf numFmtId="0" fontId="7" fillId="6" borderId="0" xfId="0" applyFont="1" applyFill="1" applyBorder="1"/>
    <xf numFmtId="2" fontId="26" fillId="6" borderId="0" xfId="0" applyNumberFormat="1" applyFont="1" applyFill="1" applyBorder="1"/>
    <xf numFmtId="2" fontId="26" fillId="6" borderId="0" xfId="0" applyNumberFormat="1" applyFont="1" applyFill="1" applyBorder="1" applyAlignment="1">
      <alignment horizontal="right"/>
    </xf>
    <xf numFmtId="0" fontId="16" fillId="6" borderId="0" xfId="0" applyFont="1" applyFill="1" applyBorder="1" applyAlignment="1">
      <alignment horizontal="right"/>
    </xf>
    <xf numFmtId="2" fontId="1" fillId="6" borderId="0" xfId="0" applyNumberFormat="1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2" fontId="28" fillId="6" borderId="0" xfId="0" applyNumberFormat="1" applyFont="1" applyFill="1" applyBorder="1"/>
    <xf numFmtId="0" fontId="28" fillId="6" borderId="0" xfId="0" applyFont="1" applyFill="1"/>
    <xf numFmtId="0" fontId="17" fillId="6" borderId="0" xfId="0" applyFont="1" applyFill="1" applyBorder="1"/>
    <xf numFmtId="0" fontId="17" fillId="6" borderId="0" xfId="0" applyFont="1" applyFill="1" applyBorder="1" applyAlignment="1">
      <alignment horizontal="right"/>
    </xf>
    <xf numFmtId="0" fontId="26" fillId="6" borderId="0" xfId="0" applyFont="1" applyFill="1" applyAlignment="1">
      <alignment horizontal="right"/>
    </xf>
    <xf numFmtId="0" fontId="29" fillId="6" borderId="0" xfId="0" applyFont="1" applyFill="1" applyAlignment="1">
      <alignment horizontal="right"/>
    </xf>
    <xf numFmtId="0" fontId="29" fillId="6" borderId="0" xfId="0" applyFont="1" applyFill="1" applyBorder="1" applyAlignment="1">
      <alignment horizontal="right"/>
    </xf>
    <xf numFmtId="2" fontId="1" fillId="6" borderId="0" xfId="0" applyNumberFormat="1" applyFont="1" applyFill="1" applyBorder="1" applyAlignment="1">
      <alignment horizontal="right"/>
    </xf>
    <xf numFmtId="2" fontId="1" fillId="6" borderId="0" xfId="0" applyNumberFormat="1" applyFont="1" applyFill="1" applyBorder="1" applyAlignment="1" applyProtection="1">
      <alignment horizontal="right"/>
    </xf>
    <xf numFmtId="2" fontId="1" fillId="6" borderId="0" xfId="0" applyNumberFormat="1" applyFont="1" applyFill="1" applyBorder="1" applyAlignment="1">
      <alignment horizontal="left"/>
    </xf>
    <xf numFmtId="2" fontId="1" fillId="6" borderId="0" xfId="0" applyNumberFormat="1" applyFont="1" applyFill="1" applyBorder="1" applyProtection="1"/>
    <xf numFmtId="0" fontId="29" fillId="6" borderId="17" xfId="0" applyFont="1" applyFill="1" applyBorder="1" applyAlignment="1">
      <alignment vertical="center"/>
    </xf>
    <xf numFmtId="0" fontId="29" fillId="6" borderId="18" xfId="0" applyFont="1" applyFill="1" applyBorder="1" applyAlignment="1">
      <alignment horizontal="center" vertical="center"/>
    </xf>
    <xf numFmtId="0" fontId="29" fillId="6" borderId="17" xfId="0" applyFont="1" applyFill="1" applyBorder="1" applyAlignment="1">
      <alignment horizontal="center" vertical="center"/>
    </xf>
    <xf numFmtId="167" fontId="1" fillId="6" borderId="0" xfId="0" applyNumberFormat="1" applyFont="1" applyFill="1" applyBorder="1" applyAlignment="1">
      <alignment horizontal="right"/>
    </xf>
    <xf numFmtId="0" fontId="1" fillId="6" borderId="0" xfId="0" applyFont="1" applyFill="1" applyBorder="1" applyProtection="1"/>
    <xf numFmtId="0" fontId="1" fillId="6" borderId="0" xfId="0" applyFont="1" applyFill="1" applyBorder="1" applyAlignment="1">
      <alignment horizontal="right" vertical="center"/>
    </xf>
    <xf numFmtId="0" fontId="17" fillId="6" borderId="0" xfId="0" applyFont="1" applyFill="1"/>
    <xf numFmtId="0" fontId="14" fillId="6" borderId="0" xfId="0" applyFont="1" applyFill="1" applyBorder="1"/>
    <xf numFmtId="0" fontId="14" fillId="6" borderId="0" xfId="0" applyFont="1" applyFill="1" applyBorder="1" applyAlignment="1">
      <alignment horizontal="center"/>
    </xf>
    <xf numFmtId="0" fontId="29" fillId="6" borderId="0" xfId="0" applyFont="1" applyFill="1" applyAlignment="1">
      <alignment horizontal="center" vertical="center"/>
    </xf>
    <xf numFmtId="2" fontId="29" fillId="6" borderId="19" xfId="0" applyNumberFormat="1" applyFont="1" applyFill="1" applyBorder="1" applyAlignment="1">
      <alignment horizontal="center" vertical="center"/>
    </xf>
    <xf numFmtId="2" fontId="29" fillId="6" borderId="0" xfId="0" applyNumberFormat="1" applyFont="1" applyFill="1" applyAlignment="1">
      <alignment horizontal="center" vertical="center"/>
    </xf>
    <xf numFmtId="167" fontId="1" fillId="6" borderId="0" xfId="0" applyNumberFormat="1" applyFont="1" applyFill="1" applyBorder="1" applyProtection="1"/>
    <xf numFmtId="2" fontId="29" fillId="6" borderId="0" xfId="0" applyNumberFormat="1" applyFont="1" applyFill="1" applyBorder="1" applyAlignment="1">
      <alignment horizontal="center" vertical="center"/>
    </xf>
    <xf numFmtId="164" fontId="29" fillId="6" borderId="0" xfId="0" applyNumberFormat="1" applyFont="1" applyFill="1"/>
    <xf numFmtId="0" fontId="33" fillId="6" borderId="0" xfId="0" applyFont="1" applyFill="1" applyBorder="1" applyAlignment="1">
      <alignment horizontal="right"/>
    </xf>
    <xf numFmtId="2" fontId="29" fillId="6" borderId="18" xfId="0" applyNumberFormat="1" applyFont="1" applyFill="1" applyBorder="1" applyAlignment="1">
      <alignment horizontal="center" vertical="center"/>
    </xf>
    <xf numFmtId="2" fontId="29" fillId="6" borderId="17" xfId="0" applyNumberFormat="1" applyFont="1" applyFill="1" applyBorder="1" applyAlignment="1">
      <alignment horizontal="center" vertical="center"/>
    </xf>
    <xf numFmtId="1" fontId="1" fillId="6" borderId="0" xfId="0" applyNumberFormat="1" applyFont="1" applyFill="1"/>
    <xf numFmtId="164" fontId="1" fillId="6" borderId="0" xfId="0" applyNumberFormat="1" applyFont="1" applyFill="1" applyBorder="1" applyAlignment="1">
      <alignment horizontal="center"/>
    </xf>
    <xf numFmtId="16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29" fillId="6" borderId="20" xfId="0" applyFont="1" applyFill="1" applyBorder="1" applyAlignment="1">
      <alignment horizontal="center" vertical="center"/>
    </xf>
    <xf numFmtId="0" fontId="29" fillId="6" borderId="21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165" fontId="1" fillId="6" borderId="0" xfId="0" applyNumberFormat="1" applyFont="1" applyFill="1" applyBorder="1"/>
    <xf numFmtId="0" fontId="22" fillId="6" borderId="0" xfId="0" applyFont="1" applyFill="1" applyBorder="1"/>
    <xf numFmtId="2" fontId="12" fillId="6" borderId="0" xfId="0" applyNumberFormat="1" applyFont="1" applyFill="1"/>
    <xf numFmtId="0" fontId="7" fillId="6" borderId="0" xfId="0" applyFont="1" applyFill="1" applyBorder="1" applyAlignment="1">
      <alignment horizontal="right"/>
    </xf>
    <xf numFmtId="1" fontId="1" fillId="6" borderId="0" xfId="0" applyNumberFormat="1" applyFont="1" applyFill="1" applyBorder="1" applyAlignment="1">
      <alignment horizontal="right"/>
    </xf>
    <xf numFmtId="1" fontId="1" fillId="6" borderId="0" xfId="0" applyNumberFormat="1" applyFont="1" applyFill="1" applyBorder="1" applyAlignment="1">
      <alignment horizontal="left"/>
    </xf>
    <xf numFmtId="1" fontId="1" fillId="6" borderId="0" xfId="0" applyNumberFormat="1" applyFont="1" applyFill="1" applyBorder="1"/>
    <xf numFmtId="165" fontId="29" fillId="6" borderId="0" xfId="0" applyNumberFormat="1" applyFont="1" applyFill="1"/>
    <xf numFmtId="0" fontId="3" fillId="6" borderId="0" xfId="0" applyFont="1" applyFill="1" applyBorder="1"/>
    <xf numFmtId="0" fontId="1" fillId="6" borderId="0" xfId="0" applyFont="1" applyFill="1" applyBorder="1" applyAlignment="1">
      <alignment horizontal="left" vertical="top"/>
    </xf>
    <xf numFmtId="2" fontId="14" fillId="6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Border="1"/>
    <xf numFmtId="0" fontId="18" fillId="6" borderId="0" xfId="0" applyFont="1" applyFill="1" applyBorder="1" applyAlignment="1">
      <alignment horizontal="center"/>
    </xf>
    <xf numFmtId="2" fontId="18" fillId="6" borderId="0" xfId="0" applyNumberFormat="1" applyFont="1" applyFill="1" applyBorder="1" applyAlignment="1">
      <alignment horizontal="center"/>
    </xf>
    <xf numFmtId="0" fontId="18" fillId="6" borderId="0" xfId="0" applyFont="1" applyFill="1" applyBorder="1"/>
    <xf numFmtId="2" fontId="18" fillId="6" borderId="3" xfId="0" applyNumberFormat="1" applyFont="1" applyFill="1" applyBorder="1"/>
    <xf numFmtId="164" fontId="18" fillId="6" borderId="1" xfId="0" applyNumberFormat="1" applyFont="1" applyFill="1" applyBorder="1" applyAlignment="1">
      <alignment horizontal="right"/>
    </xf>
    <xf numFmtId="0" fontId="18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right"/>
    </xf>
    <xf numFmtId="2" fontId="18" fillId="6" borderId="1" xfId="0" applyNumberFormat="1" applyFont="1" applyFill="1" applyBorder="1" applyAlignment="1">
      <alignment horizontal="center"/>
    </xf>
    <xf numFmtId="0" fontId="18" fillId="6" borderId="1" xfId="0" applyFont="1" applyFill="1" applyBorder="1"/>
    <xf numFmtId="0" fontId="18" fillId="6" borderId="4" xfId="0" applyFont="1" applyFill="1" applyBorder="1"/>
    <xf numFmtId="2" fontId="18" fillId="6" borderId="5" xfId="0" applyNumberFormat="1" applyFont="1" applyFill="1" applyBorder="1"/>
    <xf numFmtId="164" fontId="18" fillId="6" borderId="2" xfId="0" applyNumberFormat="1" applyFont="1" applyFill="1" applyBorder="1" applyAlignment="1">
      <alignment horizontal="right"/>
    </xf>
    <xf numFmtId="0" fontId="18" fillId="6" borderId="2" xfId="0" applyFont="1" applyFill="1" applyBorder="1" applyAlignment="1">
      <alignment horizontal="center"/>
    </xf>
    <xf numFmtId="0" fontId="18" fillId="6" borderId="2" xfId="0" applyFont="1" applyFill="1" applyBorder="1" applyAlignment="1">
      <alignment horizontal="right"/>
    </xf>
    <xf numFmtId="2" fontId="18" fillId="6" borderId="2" xfId="0" applyNumberFormat="1" applyFont="1" applyFill="1" applyBorder="1" applyAlignment="1">
      <alignment horizontal="center"/>
    </xf>
    <xf numFmtId="0" fontId="18" fillId="6" borderId="2" xfId="0" applyFont="1" applyFill="1" applyBorder="1"/>
    <xf numFmtId="0" fontId="18" fillId="6" borderId="6" xfId="0" applyFont="1" applyFill="1" applyBorder="1"/>
    <xf numFmtId="2" fontId="18" fillId="6" borderId="11" xfId="0" applyNumberFormat="1" applyFont="1" applyFill="1" applyBorder="1"/>
    <xf numFmtId="164" fontId="18" fillId="6" borderId="12" xfId="0" applyNumberFormat="1" applyFont="1" applyFill="1" applyBorder="1" applyAlignment="1">
      <alignment horizontal="right"/>
    </xf>
    <xf numFmtId="165" fontId="18" fillId="6" borderId="12" xfId="0" applyNumberFormat="1" applyFont="1" applyFill="1" applyBorder="1" applyAlignment="1">
      <alignment horizontal="center"/>
    </xf>
    <xf numFmtId="0" fontId="18" fillId="6" borderId="12" xfId="0" applyFont="1" applyFill="1" applyBorder="1" applyAlignment="1">
      <alignment horizontal="right"/>
    </xf>
    <xf numFmtId="2" fontId="18" fillId="6" borderId="12" xfId="0" applyNumberFormat="1" applyFont="1" applyFill="1" applyBorder="1" applyAlignment="1">
      <alignment horizontal="center"/>
    </xf>
    <xf numFmtId="2" fontId="18" fillId="6" borderId="12" xfId="0" applyNumberFormat="1" applyFont="1" applyFill="1" applyBorder="1"/>
    <xf numFmtId="1" fontId="18" fillId="6" borderId="12" xfId="0" applyNumberFormat="1" applyFont="1" applyFill="1" applyBorder="1" applyAlignment="1">
      <alignment horizontal="right"/>
    </xf>
    <xf numFmtId="0" fontId="18" fillId="6" borderId="12" xfId="0" applyFont="1" applyFill="1" applyBorder="1" applyAlignment="1">
      <alignment horizontal="left"/>
    </xf>
    <xf numFmtId="0" fontId="18" fillId="6" borderId="13" xfId="0" applyFont="1" applyFill="1" applyBorder="1"/>
    <xf numFmtId="2" fontId="18" fillId="6" borderId="0" xfId="0" applyNumberFormat="1" applyFont="1" applyFill="1"/>
    <xf numFmtId="0" fontId="18" fillId="6" borderId="0" xfId="0" applyFont="1" applyFill="1"/>
    <xf numFmtId="1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right"/>
    </xf>
    <xf numFmtId="2" fontId="18" fillId="6" borderId="0" xfId="0" applyNumberFormat="1" applyFont="1" applyFill="1" applyAlignment="1">
      <alignment horizontal="center"/>
    </xf>
    <xf numFmtId="164" fontId="1" fillId="6" borderId="0" xfId="0" applyNumberFormat="1" applyFont="1" applyFill="1" applyBorder="1" applyAlignment="1">
      <alignment horizontal="left"/>
    </xf>
    <xf numFmtId="0" fontId="3" fillId="6" borderId="0" xfId="0" applyFont="1" applyFill="1"/>
    <xf numFmtId="0" fontId="18" fillId="6" borderId="0" xfId="0" applyFont="1" applyFill="1" applyBorder="1" applyAlignment="1">
      <alignment horizontal="right"/>
    </xf>
    <xf numFmtId="0" fontId="18" fillId="6" borderId="0" xfId="0" applyFont="1" applyFill="1" applyBorder="1" applyAlignment="1">
      <alignment horizontal="left"/>
    </xf>
    <xf numFmtId="164" fontId="18" fillId="6" borderId="0" xfId="0" applyNumberFormat="1" applyFont="1" applyFill="1" applyBorder="1"/>
    <xf numFmtId="2" fontId="18" fillId="6" borderId="0" xfId="0" applyNumberFormat="1" applyFont="1" applyFill="1" applyBorder="1" applyAlignment="1">
      <alignment horizontal="right"/>
    </xf>
    <xf numFmtId="0" fontId="18" fillId="6" borderId="0" xfId="0" applyFont="1" applyFill="1" applyAlignment="1">
      <alignment horizontal="center"/>
    </xf>
    <xf numFmtId="2" fontId="18" fillId="6" borderId="0" xfId="0" applyNumberFormat="1" applyFont="1" applyFill="1" applyBorder="1" applyAlignment="1">
      <alignment horizontal="left"/>
    </xf>
    <xf numFmtId="2" fontId="18" fillId="6" borderId="0" xfId="0" applyNumberFormat="1" applyFont="1" applyFill="1" applyBorder="1"/>
    <xf numFmtId="2" fontId="18" fillId="6" borderId="0" xfId="0" applyNumberFormat="1" applyFont="1" applyFill="1" applyBorder="1" applyAlignment="1" applyProtection="1">
      <alignment horizontal="left"/>
    </xf>
    <xf numFmtId="0" fontId="5" fillId="6" borderId="0" xfId="0" applyFont="1" applyFill="1" applyBorder="1"/>
    <xf numFmtId="0" fontId="1" fillId="3" borderId="0" xfId="0" applyFont="1" applyFill="1"/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/>
    <xf numFmtId="0" fontId="16" fillId="3" borderId="0" xfId="0" applyFont="1" applyFill="1" applyBorder="1"/>
    <xf numFmtId="0" fontId="1" fillId="3" borderId="0" xfId="0" applyFont="1" applyFill="1" applyBorder="1"/>
    <xf numFmtId="0" fontId="19" fillId="3" borderId="0" xfId="0" applyFont="1" applyFill="1" applyBorder="1"/>
    <xf numFmtId="0" fontId="1" fillId="3" borderId="0" xfId="0" applyFont="1" applyFill="1" applyAlignment="1">
      <alignment horizontal="right"/>
    </xf>
    <xf numFmtId="0" fontId="17" fillId="3" borderId="0" xfId="0" applyFont="1" applyFill="1" applyBorder="1"/>
    <xf numFmtId="0" fontId="29" fillId="3" borderId="0" xfId="0" applyFont="1" applyFill="1" applyBorder="1" applyAlignment="1">
      <alignment horizontal="right"/>
    </xf>
    <xf numFmtId="0" fontId="14" fillId="3" borderId="0" xfId="0" applyFont="1" applyFill="1"/>
    <xf numFmtId="14" fontId="12" fillId="8" borderId="0" xfId="0" applyNumberFormat="1" applyFont="1" applyFill="1" applyBorder="1" applyAlignment="1">
      <alignment vertical="center"/>
    </xf>
    <xf numFmtId="2" fontId="1" fillId="3" borderId="0" xfId="0" applyNumberFormat="1" applyFont="1" applyFill="1"/>
    <xf numFmtId="2" fontId="18" fillId="4" borderId="7" xfId="0" applyNumberFormat="1" applyFont="1" applyFill="1" applyBorder="1" applyProtection="1">
      <protection locked="0"/>
    </xf>
    <xf numFmtId="2" fontId="18" fillId="4" borderId="8" xfId="0" applyNumberFormat="1" applyFont="1" applyFill="1" applyBorder="1" applyProtection="1">
      <protection locked="0"/>
    </xf>
    <xf numFmtId="0" fontId="18" fillId="4" borderId="9" xfId="0" applyFont="1" applyFill="1" applyBorder="1" applyProtection="1">
      <protection locked="0"/>
    </xf>
    <xf numFmtId="1" fontId="18" fillId="4" borderId="10" xfId="0" applyNumberFormat="1" applyFont="1" applyFill="1" applyBorder="1" applyAlignment="1" applyProtection="1">
      <alignment horizontal="right"/>
      <protection locked="0"/>
    </xf>
    <xf numFmtId="1" fontId="18" fillId="4" borderId="8" xfId="0" applyNumberFormat="1" applyFont="1" applyFill="1" applyBorder="1" applyProtection="1">
      <protection locked="0"/>
    </xf>
    <xf numFmtId="2" fontId="18" fillId="4" borderId="9" xfId="0" applyNumberFormat="1" applyFont="1" applyFill="1" applyBorder="1" applyProtection="1">
      <protection locked="0"/>
    </xf>
    <xf numFmtId="165" fontId="18" fillId="4" borderId="7" xfId="0" applyNumberFormat="1" applyFont="1" applyFill="1" applyBorder="1" applyProtection="1">
      <protection locked="0"/>
    </xf>
    <xf numFmtId="165" fontId="18" fillId="4" borderId="8" xfId="0" applyNumberFormat="1" applyFont="1" applyFill="1" applyBorder="1" applyProtection="1">
      <protection locked="0"/>
    </xf>
    <xf numFmtId="165" fontId="18" fillId="4" borderId="9" xfId="0" applyNumberFormat="1" applyFont="1" applyFill="1" applyBorder="1" applyProtection="1">
      <protection locked="0"/>
    </xf>
    <xf numFmtId="0" fontId="19" fillId="4" borderId="23" xfId="0" applyFont="1" applyFill="1" applyBorder="1" applyAlignment="1">
      <alignment horizontal="right"/>
    </xf>
    <xf numFmtId="0" fontId="19" fillId="4" borderId="24" xfId="0" applyFont="1" applyFill="1" applyBorder="1"/>
    <xf numFmtId="0" fontId="19" fillId="4" borderId="24" xfId="0" applyFont="1" applyFill="1" applyBorder="1" applyAlignment="1">
      <alignment horizontal="right"/>
    </xf>
    <xf numFmtId="2" fontId="19" fillId="4" borderId="24" xfId="0" applyNumberFormat="1" applyFont="1" applyFill="1" applyBorder="1" applyAlignment="1">
      <alignment horizontal="center"/>
    </xf>
    <xf numFmtId="165" fontId="19" fillId="4" borderId="24" xfId="0" applyNumberFormat="1" applyFont="1" applyFill="1" applyBorder="1"/>
    <xf numFmtId="0" fontId="19" fillId="4" borderId="25" xfId="0" applyFont="1" applyFill="1" applyBorder="1"/>
    <xf numFmtId="0" fontId="14" fillId="10" borderId="23" xfId="0" applyFont="1" applyFill="1" applyBorder="1" applyAlignment="1">
      <alignment horizontal="right"/>
    </xf>
    <xf numFmtId="0" fontId="14" fillId="10" borderId="24" xfId="0" applyFont="1" applyFill="1" applyBorder="1"/>
    <xf numFmtId="0" fontId="14" fillId="10" borderId="24" xfId="0" applyFont="1" applyFill="1" applyBorder="1" applyAlignment="1">
      <alignment horizontal="right"/>
    </xf>
    <xf numFmtId="2" fontId="14" fillId="10" borderId="24" xfId="0" applyNumberFormat="1" applyFont="1" applyFill="1" applyBorder="1" applyAlignment="1">
      <alignment horizontal="center"/>
    </xf>
    <xf numFmtId="165" fontId="14" fillId="10" borderId="24" xfId="0" applyNumberFormat="1" applyFont="1" applyFill="1" applyBorder="1"/>
    <xf numFmtId="0" fontId="14" fillId="10" borderId="25" xfId="0" applyFont="1" applyFill="1" applyBorder="1"/>
    <xf numFmtId="0" fontId="19" fillId="11" borderId="23" xfId="0" applyFont="1" applyFill="1" applyBorder="1" applyAlignment="1">
      <alignment horizontal="right"/>
    </xf>
    <xf numFmtId="0" fontId="19" fillId="11" borderId="24" xfId="0" applyFont="1" applyFill="1" applyBorder="1"/>
    <xf numFmtId="0" fontId="19" fillId="11" borderId="24" xfId="0" applyFont="1" applyFill="1" applyBorder="1" applyAlignment="1">
      <alignment horizontal="right"/>
    </xf>
    <xf numFmtId="2" fontId="19" fillId="11" borderId="24" xfId="0" applyNumberFormat="1" applyFont="1" applyFill="1" applyBorder="1" applyAlignment="1">
      <alignment horizontal="right"/>
    </xf>
    <xf numFmtId="2" fontId="19" fillId="11" borderId="24" xfId="0" applyNumberFormat="1" applyFont="1" applyFill="1" applyBorder="1" applyAlignment="1">
      <alignment horizontal="center"/>
    </xf>
    <xf numFmtId="0" fontId="19" fillId="11" borderId="25" xfId="0" applyFont="1" applyFill="1" applyBorder="1"/>
    <xf numFmtId="2" fontId="19" fillId="4" borderId="23" xfId="0" applyNumberFormat="1" applyFont="1" applyFill="1" applyBorder="1" applyAlignment="1">
      <alignment horizontal="left"/>
    </xf>
    <xf numFmtId="2" fontId="19" fillId="4" borderId="24" xfId="0" applyNumberFormat="1" applyFont="1" applyFill="1" applyBorder="1"/>
    <xf numFmtId="1" fontId="19" fillId="4" borderId="24" xfId="0" applyNumberFormat="1" applyFont="1" applyFill="1" applyBorder="1" applyAlignment="1">
      <alignment horizontal="center"/>
    </xf>
    <xf numFmtId="165" fontId="19" fillId="4" borderId="24" xfId="0" applyNumberFormat="1" applyFont="1" applyFill="1" applyBorder="1" applyAlignment="1">
      <alignment horizontal="center"/>
    </xf>
    <xf numFmtId="0" fontId="16" fillId="6" borderId="0" xfId="0" applyFont="1" applyFill="1" applyAlignment="1">
      <alignment horizontal="right"/>
    </xf>
    <xf numFmtId="2" fontId="16" fillId="6" borderId="0" xfId="0" applyNumberFormat="1" applyFont="1" applyFill="1" applyAlignment="1">
      <alignment horizontal="center"/>
    </xf>
    <xf numFmtId="0" fontId="16" fillId="6" borderId="0" xfId="0" applyFont="1" applyFill="1"/>
    <xf numFmtId="2" fontId="17" fillId="6" borderId="0" xfId="0" applyNumberFormat="1" applyFont="1" applyFill="1" applyBorder="1" applyAlignment="1">
      <alignment horizontal="center"/>
    </xf>
    <xf numFmtId="2" fontId="16" fillId="6" borderId="0" xfId="0" applyNumberFormat="1" applyFont="1" applyFill="1" applyBorder="1" applyAlignment="1">
      <alignment horizontal="center"/>
    </xf>
    <xf numFmtId="2" fontId="19" fillId="11" borderId="24" xfId="2" applyNumberFormat="1" applyFont="1" applyFill="1" applyBorder="1" applyAlignment="1">
      <alignment horizontal="left" indent="1"/>
    </xf>
    <xf numFmtId="0" fontId="12" fillId="2" borderId="0" xfId="0" applyFont="1" applyFill="1" applyProtection="1">
      <protection hidden="1"/>
    </xf>
    <xf numFmtId="0" fontId="0" fillId="6" borderId="0" xfId="0" applyFill="1" applyProtection="1">
      <protection hidden="1"/>
    </xf>
    <xf numFmtId="0" fontId="28" fillId="6" borderId="0" xfId="0" applyFont="1" applyFill="1" applyBorder="1" applyProtection="1">
      <protection hidden="1"/>
    </xf>
    <xf numFmtId="2" fontId="12" fillId="6" borderId="0" xfId="0" applyNumberFormat="1" applyFont="1" applyFill="1" applyBorder="1" applyProtection="1">
      <protection hidden="1"/>
    </xf>
    <xf numFmtId="0" fontId="12" fillId="6" borderId="0" xfId="0" applyFont="1" applyFill="1" applyBorder="1" applyProtection="1">
      <protection hidden="1"/>
    </xf>
    <xf numFmtId="0" fontId="0" fillId="3" borderId="17" xfId="0" applyFill="1" applyBorder="1" applyAlignment="1" applyProtection="1">
      <alignment vertical="center"/>
      <protection hidden="1"/>
    </xf>
    <xf numFmtId="0" fontId="0" fillId="4" borderId="18" xfId="0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 applyProtection="1">
      <alignment horizontal="center" vertical="center"/>
      <protection hidden="1"/>
    </xf>
    <xf numFmtId="0" fontId="26" fillId="6" borderId="0" xfId="0" applyFont="1" applyFill="1" applyBorder="1" applyProtection="1"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2" fontId="0" fillId="4" borderId="19" xfId="0" applyNumberFormat="1" applyFill="1" applyBorder="1" applyAlignment="1" applyProtection="1">
      <alignment horizontal="center" vertical="center"/>
      <protection hidden="1"/>
    </xf>
    <xf numFmtId="2" fontId="0" fillId="4" borderId="0" xfId="0" applyNumberFormat="1" applyFill="1" applyAlignment="1" applyProtection="1">
      <alignment horizontal="center" vertical="center"/>
      <protection hidden="1"/>
    </xf>
    <xf numFmtId="2" fontId="26" fillId="6" borderId="0" xfId="0" applyNumberFormat="1" applyFont="1" applyFill="1" applyBorder="1" applyProtection="1"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4" borderId="0" xfId="0" applyNumberFormat="1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vertical="center"/>
      <protection hidden="1"/>
    </xf>
    <xf numFmtId="2" fontId="28" fillId="6" borderId="0" xfId="0" applyNumberFormat="1" applyFont="1" applyFill="1" applyBorder="1" applyProtection="1">
      <protection hidden="1"/>
    </xf>
    <xf numFmtId="2" fontId="1" fillId="6" borderId="0" xfId="0" applyNumberFormat="1" applyFont="1" applyFill="1" applyProtection="1">
      <protection hidden="1"/>
    </xf>
    <xf numFmtId="2" fontId="0" fillId="6" borderId="0" xfId="0" applyNumberForma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right" vertical="center"/>
      <protection hidden="1"/>
    </xf>
    <xf numFmtId="2" fontId="1" fillId="6" borderId="0" xfId="0" applyNumberFormat="1" applyFont="1" applyFill="1" applyAlignment="1" applyProtection="1">
      <alignment horizontal="center" vertical="center"/>
      <protection hidden="1"/>
    </xf>
    <xf numFmtId="1" fontId="0" fillId="6" borderId="0" xfId="0" applyNumberFormat="1" applyFill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left" vertical="center"/>
      <protection hidden="1"/>
    </xf>
    <xf numFmtId="0" fontId="1" fillId="6" borderId="0" xfId="0" applyFont="1" applyFill="1" applyProtection="1">
      <protection hidden="1"/>
    </xf>
    <xf numFmtId="0" fontId="1" fillId="6" borderId="0" xfId="0" applyFont="1" applyFill="1" applyAlignment="1" applyProtection="1">
      <alignment horizontal="left"/>
      <protection hidden="1"/>
    </xf>
    <xf numFmtId="2" fontId="18" fillId="4" borderId="10" xfId="0" applyNumberFormat="1" applyFont="1" applyFill="1" applyBorder="1" applyProtection="1">
      <protection locked="0"/>
    </xf>
    <xf numFmtId="2" fontId="0" fillId="4" borderId="21" xfId="0" applyNumberForma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2" fontId="1" fillId="4" borderId="0" xfId="0" applyNumberFormat="1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1" fontId="0" fillId="4" borderId="0" xfId="0" applyNumberForma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2" fillId="2" borderId="0" xfId="0" applyFont="1" applyFill="1" applyProtection="1"/>
    <xf numFmtId="0" fontId="0" fillId="6" borderId="0" xfId="0" applyFill="1" applyProtection="1"/>
    <xf numFmtId="0" fontId="28" fillId="6" borderId="0" xfId="0" applyFont="1" applyFill="1" applyBorder="1" applyProtection="1"/>
    <xf numFmtId="2" fontId="12" fillId="6" borderId="0" xfId="0" applyNumberFormat="1" applyFont="1" applyFill="1" applyBorder="1" applyProtection="1"/>
    <xf numFmtId="0" fontId="12" fillId="6" borderId="0" xfId="0" applyFont="1" applyFill="1" applyBorder="1" applyProtection="1"/>
    <xf numFmtId="0" fontId="0" fillId="3" borderId="17" xfId="0" applyFill="1" applyBorder="1" applyAlignment="1" applyProtection="1">
      <alignment vertical="center"/>
    </xf>
    <xf numFmtId="0" fontId="0" fillId="4" borderId="17" xfId="0" applyFill="1" applyBorder="1" applyAlignment="1" applyProtection="1">
      <alignment horizontal="center" vertical="center"/>
    </xf>
    <xf numFmtId="0" fontId="26" fillId="6" borderId="0" xfId="0" applyFont="1" applyFill="1" applyBorder="1" applyProtection="1"/>
    <xf numFmtId="0" fontId="1" fillId="3" borderId="0" xfId="0" applyFont="1" applyFill="1" applyAlignment="1" applyProtection="1">
      <alignment horizontal="center" vertical="center"/>
    </xf>
    <xf numFmtId="2" fontId="0" fillId="4" borderId="19" xfId="0" applyNumberFormat="1" applyFill="1" applyBorder="1" applyAlignment="1" applyProtection="1">
      <alignment horizontal="center" vertical="center"/>
    </xf>
    <xf numFmtId="2" fontId="0" fillId="4" borderId="0" xfId="0" applyNumberFormat="1" applyFill="1" applyAlignment="1" applyProtection="1">
      <alignment horizontal="center" vertical="center"/>
    </xf>
    <xf numFmtId="2" fontId="26" fillId="6" borderId="0" xfId="0" applyNumberFormat="1" applyFont="1" applyFill="1" applyBorder="1" applyProtection="1"/>
    <xf numFmtId="2" fontId="0" fillId="4" borderId="18" xfId="0" applyNumberFormat="1" applyFill="1" applyBorder="1" applyAlignment="1" applyProtection="1">
      <alignment horizontal="center" vertical="center"/>
    </xf>
    <xf numFmtId="2" fontId="0" fillId="4" borderId="0" xfId="0" applyNumberFormat="1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vertical="center"/>
    </xf>
    <xf numFmtId="0" fontId="0" fillId="4" borderId="21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2" fontId="28" fillId="6" borderId="0" xfId="0" applyNumberFormat="1" applyFont="1" applyFill="1" applyBorder="1" applyProtection="1"/>
    <xf numFmtId="2" fontId="1" fillId="6" borderId="0" xfId="0" applyNumberFormat="1" applyFont="1" applyFill="1" applyProtection="1"/>
    <xf numFmtId="0" fontId="1" fillId="6" borderId="0" xfId="0" applyFont="1" applyFill="1" applyAlignment="1" applyProtection="1">
      <alignment horizontal="left" vertical="center"/>
    </xf>
    <xf numFmtId="2" fontId="0" fillId="6" borderId="0" xfId="0" applyNumberFormat="1" applyFill="1" applyAlignment="1" applyProtection="1">
      <alignment horizontal="center" vertical="center"/>
    </xf>
    <xf numFmtId="0" fontId="1" fillId="6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1" fillId="6" borderId="0" xfId="0" applyFont="1" applyFill="1" applyAlignment="1" applyProtection="1">
      <alignment horizontal="right" vertical="center"/>
    </xf>
    <xf numFmtId="2" fontId="1" fillId="6" borderId="0" xfId="0" applyNumberFormat="1" applyFont="1" applyFill="1" applyAlignment="1" applyProtection="1">
      <alignment horizontal="center" vertical="center"/>
    </xf>
    <xf numFmtId="1" fontId="0" fillId="6" borderId="0" xfId="0" applyNumberFormat="1" applyFill="1" applyAlignment="1" applyProtection="1">
      <alignment horizontal="center" vertical="center"/>
    </xf>
    <xf numFmtId="0" fontId="1" fillId="6" borderId="0" xfId="0" applyFont="1" applyFill="1" applyAlignment="1" applyProtection="1">
      <alignment horizontal="left"/>
    </xf>
    <xf numFmtId="0" fontId="1" fillId="6" borderId="0" xfId="0" applyFont="1" applyFill="1" applyProtection="1"/>
    <xf numFmtId="0" fontId="15" fillId="4" borderId="23" xfId="0" applyFont="1" applyFill="1" applyBorder="1" applyAlignment="1" applyProtection="1">
      <alignment horizontal="right" vertical="center"/>
    </xf>
    <xf numFmtId="2" fontId="15" fillId="4" borderId="24" xfId="0" applyNumberFormat="1" applyFont="1" applyFill="1" applyBorder="1" applyAlignment="1" applyProtection="1">
      <alignment horizontal="center" vertical="center"/>
    </xf>
    <xf numFmtId="0" fontId="15" fillId="4" borderId="24" xfId="0" applyFont="1" applyFill="1" applyBorder="1" applyAlignment="1" applyProtection="1">
      <alignment horizontal="left" vertical="center"/>
    </xf>
    <xf numFmtId="0" fontId="15" fillId="4" borderId="24" xfId="0" applyFont="1" applyFill="1" applyBorder="1" applyProtection="1"/>
    <xf numFmtId="0" fontId="15" fillId="4" borderId="25" xfId="0" applyFont="1" applyFill="1" applyBorder="1" applyAlignment="1" applyProtection="1">
      <alignment horizontal="left" vertical="center"/>
    </xf>
    <xf numFmtId="0" fontId="39" fillId="6" borderId="0" xfId="3" applyFont="1" applyFill="1" applyBorder="1" applyAlignment="1" applyProtection="1">
      <alignment vertical="center"/>
    </xf>
    <xf numFmtId="0" fontId="40" fillId="6" borderId="0" xfId="3" applyFont="1" applyFill="1" applyBorder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vertical="center"/>
    </xf>
    <xf numFmtId="0" fontId="42" fillId="6" borderId="0" xfId="0" applyFont="1" applyFill="1" applyBorder="1"/>
    <xf numFmtId="0" fontId="42" fillId="6" borderId="0" xfId="0" applyFont="1" applyFill="1" applyBorder="1" applyAlignment="1">
      <alignment horizontal="right"/>
    </xf>
    <xf numFmtId="2" fontId="42" fillId="6" borderId="0" xfId="0" applyNumberFormat="1" applyFont="1" applyFill="1"/>
    <xf numFmtId="0" fontId="42" fillId="6" borderId="0" xfId="0" applyFont="1" applyFill="1"/>
    <xf numFmtId="2" fontId="42" fillId="6" borderId="0" xfId="0" applyNumberFormat="1" applyFont="1" applyFill="1" applyBorder="1"/>
    <xf numFmtId="2" fontId="42" fillId="6" borderId="0" xfId="0" applyNumberFormat="1" applyFont="1" applyFill="1" applyBorder="1" applyAlignment="1">
      <alignment horizontal="right"/>
    </xf>
    <xf numFmtId="0" fontId="41" fillId="6" borderId="0" xfId="0" applyFont="1" applyFill="1"/>
    <xf numFmtId="0" fontId="42" fillId="6" borderId="0" xfId="0" applyFont="1" applyFill="1" applyAlignment="1">
      <alignment horizontal="right"/>
    </xf>
    <xf numFmtId="0" fontId="42" fillId="6" borderId="0" xfId="0" applyFont="1" applyFill="1" applyBorder="1" applyAlignment="1">
      <alignment horizontal="right" vertical="center"/>
    </xf>
    <xf numFmtId="164" fontId="42" fillId="6" borderId="0" xfId="0" applyNumberFormat="1" applyFont="1" applyFill="1"/>
    <xf numFmtId="0" fontId="45" fillId="6" borderId="0" xfId="0" applyFont="1" applyFill="1" applyBorder="1" applyAlignment="1">
      <alignment horizontal="right"/>
    </xf>
    <xf numFmtId="165" fontId="42" fillId="6" borderId="0" xfId="0" applyNumberFormat="1" applyFont="1" applyFill="1"/>
    <xf numFmtId="0" fontId="42" fillId="6" borderId="0" xfId="0" applyFont="1" applyFill="1" applyBorder="1" applyAlignment="1">
      <alignment horizontal="left"/>
    </xf>
    <xf numFmtId="0" fontId="1" fillId="0" borderId="24" xfId="0" applyFont="1" applyFill="1" applyBorder="1"/>
    <xf numFmtId="2" fontId="16" fillId="6" borderId="0" xfId="0" applyNumberFormat="1" applyFont="1" applyFill="1" applyBorder="1" applyAlignment="1">
      <alignment horizontal="right"/>
    </xf>
    <xf numFmtId="1" fontId="19" fillId="4" borderId="24" xfId="0" applyNumberFormat="1" applyFont="1" applyFill="1" applyBorder="1" applyAlignment="1">
      <alignment horizontal="right"/>
    </xf>
    <xf numFmtId="2" fontId="16" fillId="6" borderId="0" xfId="0" applyNumberFormat="1" applyFont="1" applyFill="1" applyBorder="1" applyAlignment="1" applyProtection="1">
      <alignment horizontal="right"/>
    </xf>
    <xf numFmtId="2" fontId="16" fillId="6" borderId="0" xfId="0" applyNumberFormat="1" applyFont="1" applyFill="1" applyBorder="1" applyProtection="1"/>
    <xf numFmtId="0" fontId="16" fillId="6" borderId="0" xfId="0" applyFont="1" applyFill="1" applyBorder="1" applyProtection="1"/>
    <xf numFmtId="167" fontId="16" fillId="6" borderId="0" xfId="0" applyNumberFormat="1" applyFont="1" applyFill="1" applyBorder="1" applyProtection="1"/>
    <xf numFmtId="0" fontId="50" fillId="6" borderId="0" xfId="0" applyFont="1" applyFill="1" applyBorder="1" applyAlignment="1" applyProtection="1">
      <alignment vertical="center"/>
    </xf>
    <xf numFmtId="2" fontId="54" fillId="4" borderId="7" xfId="0" applyNumberFormat="1" applyFont="1" applyFill="1" applyBorder="1" applyProtection="1">
      <protection locked="0"/>
    </xf>
    <xf numFmtId="1" fontId="54" fillId="4" borderId="8" xfId="0" applyNumberFormat="1" applyFont="1" applyFill="1" applyBorder="1" applyProtection="1">
      <protection locked="0"/>
    </xf>
    <xf numFmtId="2" fontId="54" fillId="4" borderId="8" xfId="0" applyNumberFormat="1" applyFont="1" applyFill="1" applyBorder="1" applyProtection="1">
      <protection locked="0"/>
    </xf>
    <xf numFmtId="2" fontId="54" fillId="4" borderId="9" xfId="0" applyNumberFormat="1" applyFont="1" applyFill="1" applyBorder="1" applyProtection="1">
      <protection locked="0"/>
    </xf>
    <xf numFmtId="0" fontId="42" fillId="6" borderId="0" xfId="0" applyFont="1" applyFill="1" applyProtection="1"/>
    <xf numFmtId="0" fontId="50" fillId="8" borderId="0" xfId="0" applyFont="1" applyFill="1" applyBorder="1" applyAlignment="1" applyProtection="1">
      <alignment vertical="center"/>
    </xf>
    <xf numFmtId="2" fontId="50" fillId="8" borderId="0" xfId="0" applyNumberFormat="1" applyFont="1" applyFill="1" applyBorder="1" applyAlignment="1" applyProtection="1">
      <alignment vertical="center"/>
    </xf>
    <xf numFmtId="0" fontId="34" fillId="6" borderId="0" xfId="0" applyFont="1" applyFill="1" applyProtection="1"/>
    <xf numFmtId="0" fontId="0" fillId="0" borderId="0" xfId="0" applyProtection="1"/>
    <xf numFmtId="0" fontId="16" fillId="6" borderId="0" xfId="0" applyFont="1" applyFill="1" applyBorder="1" applyAlignment="1" applyProtection="1">
      <alignment vertical="center"/>
    </xf>
    <xf numFmtId="2" fontId="51" fillId="6" borderId="0" xfId="0" applyNumberFormat="1" applyFont="1" applyFill="1" applyBorder="1" applyProtection="1"/>
    <xf numFmtId="2" fontId="52" fillId="6" borderId="0" xfId="0" applyNumberFormat="1" applyFont="1" applyFill="1" applyProtection="1"/>
    <xf numFmtId="0" fontId="53" fillId="6" borderId="0" xfId="0" applyFont="1" applyFill="1" applyBorder="1" applyProtection="1"/>
    <xf numFmtId="0" fontId="52" fillId="6" borderId="0" xfId="0" applyFont="1" applyFill="1" applyBorder="1" applyProtection="1"/>
    <xf numFmtId="0" fontId="53" fillId="6" borderId="0" xfId="0" applyFont="1" applyFill="1" applyBorder="1" applyAlignment="1" applyProtection="1">
      <alignment horizontal="right"/>
    </xf>
    <xf numFmtId="0" fontId="55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Protection="1"/>
    <xf numFmtId="0" fontId="34" fillId="6" borderId="0" xfId="0" applyFont="1" applyFill="1" applyBorder="1" applyProtection="1"/>
    <xf numFmtId="0" fontId="52" fillId="6" borderId="0" xfId="0" applyFont="1" applyFill="1" applyBorder="1" applyAlignment="1" applyProtection="1">
      <alignment horizontal="left"/>
    </xf>
    <xf numFmtId="1" fontId="1" fillId="6" borderId="0" xfId="0" applyNumberFormat="1" applyFont="1" applyFill="1" applyAlignment="1" applyProtection="1">
      <alignment horizontal="center" vertical="center"/>
    </xf>
    <xf numFmtId="0" fontId="52" fillId="6" borderId="0" xfId="0" applyFont="1" applyFill="1" applyProtection="1"/>
    <xf numFmtId="0" fontId="16" fillId="6" borderId="0" xfId="0" applyFont="1" applyFill="1" applyBorder="1" applyAlignment="1" applyProtection="1">
      <alignment horizontal="right"/>
    </xf>
    <xf numFmtId="0" fontId="1" fillId="6" borderId="0" xfId="0" applyFont="1" applyFill="1" applyBorder="1" applyAlignment="1" applyProtection="1">
      <alignment horizontal="right"/>
    </xf>
    <xf numFmtId="0" fontId="42" fillId="6" borderId="0" xfId="0" applyFont="1" applyFill="1" applyBorder="1" applyProtection="1"/>
    <xf numFmtId="0" fontId="42" fillId="6" borderId="0" xfId="0" applyFont="1" applyFill="1" applyBorder="1" applyAlignment="1" applyProtection="1">
      <alignment horizontal="left"/>
    </xf>
    <xf numFmtId="0" fontId="42" fillId="6" borderId="0" xfId="0" applyFont="1" applyFill="1" applyBorder="1" applyAlignment="1" applyProtection="1">
      <alignment horizontal="right"/>
    </xf>
    <xf numFmtId="0" fontId="52" fillId="6" borderId="0" xfId="0" applyFont="1" applyFill="1" applyAlignment="1" applyProtection="1">
      <alignment horizontal="left" vertical="center"/>
    </xf>
    <xf numFmtId="0" fontId="12" fillId="7" borderId="3" xfId="0" applyFont="1" applyFill="1" applyBorder="1" applyAlignment="1" applyProtection="1">
      <alignment horizontal="left" vertical="center"/>
    </xf>
    <xf numFmtId="2" fontId="50" fillId="7" borderId="1" xfId="0" applyNumberFormat="1" applyFont="1" applyFill="1" applyBorder="1" applyAlignment="1" applyProtection="1">
      <alignment horizontal="right"/>
    </xf>
    <xf numFmtId="164" fontId="50" fillId="7" borderId="4" xfId="0" applyNumberFormat="1" applyFont="1" applyFill="1" applyBorder="1" applyAlignment="1" applyProtection="1">
      <alignment horizontal="left"/>
    </xf>
    <xf numFmtId="2" fontId="29" fillId="6" borderId="0" xfId="0" applyNumberFormat="1" applyFont="1" applyFill="1" applyAlignment="1" applyProtection="1">
      <alignment horizontal="center" vertical="center"/>
    </xf>
    <xf numFmtId="2" fontId="42" fillId="6" borderId="0" xfId="0" applyNumberFormat="1" applyFont="1" applyFill="1" applyBorder="1" applyAlignment="1" applyProtection="1">
      <alignment horizontal="right"/>
    </xf>
    <xf numFmtId="0" fontId="12" fillId="7" borderId="5" xfId="0" applyFont="1" applyFill="1" applyBorder="1" applyAlignment="1" applyProtection="1">
      <alignment horizontal="left" vertical="center"/>
    </xf>
    <xf numFmtId="2" fontId="50" fillId="7" borderId="2" xfId="0" applyNumberFormat="1" applyFont="1" applyFill="1" applyBorder="1" applyAlignment="1" applyProtection="1">
      <alignment horizontal="right"/>
    </xf>
    <xf numFmtId="164" fontId="50" fillId="7" borderId="6" xfId="0" applyNumberFormat="1" applyFont="1" applyFill="1" applyBorder="1" applyAlignment="1" applyProtection="1">
      <alignment horizontal="left"/>
    </xf>
    <xf numFmtId="2" fontId="29" fillId="6" borderId="0" xfId="0" applyNumberFormat="1" applyFont="1" applyFill="1" applyBorder="1" applyAlignment="1" applyProtection="1">
      <alignment horizontal="center" vertical="center"/>
    </xf>
    <xf numFmtId="0" fontId="41" fillId="6" borderId="0" xfId="0" applyFont="1" applyFill="1" applyProtection="1"/>
    <xf numFmtId="0" fontId="45" fillId="6" borderId="0" xfId="0" applyFont="1" applyFill="1" applyBorder="1" applyAlignment="1" applyProtection="1">
      <alignment horizontal="right"/>
    </xf>
    <xf numFmtId="0" fontId="17" fillId="6" borderId="0" xfId="0" applyFont="1" applyFill="1" applyBorder="1" applyProtection="1"/>
    <xf numFmtId="0" fontId="29" fillId="6" borderId="0" xfId="0" applyFont="1" applyFill="1" applyBorder="1" applyAlignment="1" applyProtection="1">
      <alignment horizontal="right"/>
    </xf>
    <xf numFmtId="2" fontId="16" fillId="6" borderId="0" xfId="0" applyNumberFormat="1" applyFont="1" applyFill="1" applyBorder="1" applyAlignment="1" applyProtection="1">
      <alignment horizontal="left"/>
    </xf>
    <xf numFmtId="0" fontId="16" fillId="6" borderId="0" xfId="0" applyFont="1" applyFill="1" applyProtection="1"/>
    <xf numFmtId="167" fontId="16" fillId="6" borderId="0" xfId="0" applyNumberFormat="1" applyFont="1" applyFill="1" applyBorder="1" applyAlignment="1" applyProtection="1">
      <alignment horizontal="right"/>
    </xf>
    <xf numFmtId="1" fontId="16" fillId="6" borderId="0" xfId="0" applyNumberFormat="1" applyFont="1" applyFill="1" applyProtection="1"/>
    <xf numFmtId="164" fontId="16" fillId="6" borderId="0" xfId="0" applyNumberFormat="1" applyFont="1" applyFill="1" applyBorder="1" applyAlignment="1" applyProtection="1">
      <alignment horizontal="center"/>
    </xf>
    <xf numFmtId="164" fontId="16" fillId="6" borderId="0" xfId="0" applyNumberFormat="1" applyFont="1" applyFill="1" applyProtection="1"/>
    <xf numFmtId="0" fontId="16" fillId="6" borderId="0" xfId="0" applyFont="1" applyFill="1" applyBorder="1" applyAlignment="1" applyProtection="1">
      <alignment horizontal="left"/>
    </xf>
    <xf numFmtId="164" fontId="16" fillId="6" borderId="0" xfId="0" applyNumberFormat="1" applyFont="1" applyFill="1" applyAlignment="1" applyProtection="1">
      <alignment horizontal="left"/>
    </xf>
    <xf numFmtId="0" fontId="46" fillId="6" borderId="0" xfId="0" applyFont="1" applyFill="1" applyBorder="1" applyAlignment="1" applyProtection="1">
      <alignment horizontal="right"/>
    </xf>
    <xf numFmtId="0" fontId="16" fillId="6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6" borderId="0" xfId="0" applyNumberFormat="1" applyFont="1" applyFill="1" applyBorder="1" applyProtection="1"/>
    <xf numFmtId="0" fontId="1" fillId="6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9" fillId="0" borderId="17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2" fontId="29" fillId="0" borderId="19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17" xfId="0" applyNumberFormat="1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right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9" fillId="0" borderId="0" xfId="0" applyFont="1" applyFill="1" applyBorder="1"/>
    <xf numFmtId="0" fontId="6" fillId="12" borderId="0" xfId="0" applyFont="1" applyFill="1" applyBorder="1" applyAlignment="1">
      <alignment horizontal="left"/>
    </xf>
    <xf numFmtId="0" fontId="1" fillId="12" borderId="0" xfId="0" applyFont="1" applyFill="1" applyBorder="1"/>
    <xf numFmtId="0" fontId="1" fillId="12" borderId="0" xfId="0" applyFont="1" applyFill="1" applyBorder="1" applyAlignment="1">
      <alignment horizontal="right"/>
    </xf>
    <xf numFmtId="0" fontId="6" fillId="9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35" fillId="8" borderId="1" xfId="0" applyFont="1" applyFill="1" applyBorder="1"/>
    <xf numFmtId="0" fontId="0" fillId="0" borderId="26" xfId="0" applyFill="1" applyBorder="1"/>
    <xf numFmtId="0" fontId="0" fillId="0" borderId="28" xfId="0" applyFill="1" applyBorder="1"/>
    <xf numFmtId="0" fontId="0" fillId="0" borderId="28" xfId="0" applyFill="1" applyBorder="1" applyAlignment="1">
      <alignment vertical="center"/>
    </xf>
    <xf numFmtId="2" fontId="0" fillId="0" borderId="0" xfId="0" applyNumberForma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/>
    </xf>
    <xf numFmtId="0" fontId="1" fillId="9" borderId="0" xfId="0" applyFont="1" applyFill="1" applyBorder="1"/>
    <xf numFmtId="0" fontId="1" fillId="9" borderId="0" xfId="0" applyFont="1" applyFill="1" applyBorder="1" applyAlignment="1">
      <alignment horizontal="center"/>
    </xf>
    <xf numFmtId="0" fontId="1" fillId="0" borderId="28" xfId="0" applyFont="1" applyFill="1" applyBorder="1"/>
    <xf numFmtId="0" fontId="0" fillId="0" borderId="5" xfId="0" applyFill="1" applyBorder="1"/>
    <xf numFmtId="0" fontId="29" fillId="3" borderId="14" xfId="0" applyFont="1" applyFill="1" applyBorder="1" applyAlignment="1">
      <alignment horizontal="right" vertical="center"/>
    </xf>
    <xf numFmtId="0" fontId="29" fillId="3" borderId="15" xfId="0" applyFont="1" applyFill="1" applyBorder="1" applyAlignment="1">
      <alignment horizontal="left" vertical="center"/>
    </xf>
    <xf numFmtId="0" fontId="29" fillId="3" borderId="15" xfId="0" applyFont="1" applyFill="1" applyBorder="1" applyAlignment="1">
      <alignment vertical="center"/>
    </xf>
    <xf numFmtId="2" fontId="29" fillId="3" borderId="15" xfId="0" applyNumberFormat="1" applyFont="1" applyFill="1" applyBorder="1" applyAlignment="1">
      <alignment vertical="center"/>
    </xf>
    <xf numFmtId="0" fontId="29" fillId="3" borderId="15" xfId="0" applyFont="1" applyFill="1" applyBorder="1" applyAlignment="1">
      <alignment horizontal="center" vertical="center"/>
    </xf>
    <xf numFmtId="165" fontId="29" fillId="3" borderId="15" xfId="0" applyNumberFormat="1" applyFont="1" applyFill="1" applyBorder="1" applyAlignment="1">
      <alignment vertical="center"/>
    </xf>
    <xf numFmtId="0" fontId="29" fillId="3" borderId="27" xfId="0" applyFont="1" applyFill="1" applyBorder="1"/>
    <xf numFmtId="0" fontId="29" fillId="3" borderId="16" xfId="0" applyFont="1" applyFill="1" applyBorder="1" applyAlignment="1">
      <alignment horizontal="right" vertical="center"/>
    </xf>
    <xf numFmtId="0" fontId="29" fillId="3" borderId="17" xfId="0" applyFont="1" applyFill="1" applyBorder="1" applyAlignment="1">
      <alignment horizontal="left" vertical="center"/>
    </xf>
    <xf numFmtId="0" fontId="29" fillId="3" borderId="17" xfId="0" applyFont="1" applyFill="1" applyBorder="1" applyAlignment="1">
      <alignment vertical="center"/>
    </xf>
    <xf numFmtId="2" fontId="29" fillId="3" borderId="17" xfId="0" applyNumberFormat="1" applyFont="1" applyFill="1" applyBorder="1" applyAlignment="1">
      <alignment vertical="center"/>
    </xf>
    <xf numFmtId="0" fontId="29" fillId="3" borderId="17" xfId="0" applyFont="1" applyFill="1" applyBorder="1" applyAlignment="1">
      <alignment horizontal="center" vertical="center"/>
    </xf>
    <xf numFmtId="165" fontId="29" fillId="3" borderId="17" xfId="0" applyNumberFormat="1" applyFont="1" applyFill="1" applyBorder="1" applyAlignment="1">
      <alignment vertical="center"/>
    </xf>
    <xf numFmtId="0" fontId="29" fillId="3" borderId="18" xfId="0" applyFont="1" applyFill="1" applyBorder="1"/>
    <xf numFmtId="0" fontId="29" fillId="9" borderId="23" xfId="0" applyFont="1" applyFill="1" applyBorder="1" applyAlignment="1">
      <alignment horizontal="right"/>
    </xf>
    <xf numFmtId="0" fontId="29" fillId="9" borderId="24" xfId="0" applyFont="1" applyFill="1" applyBorder="1"/>
    <xf numFmtId="0" fontId="29" fillId="9" borderId="24" xfId="0" applyFont="1" applyFill="1" applyBorder="1" applyAlignment="1">
      <alignment horizontal="right"/>
    </xf>
    <xf numFmtId="2" fontId="29" fillId="9" borderId="24" xfId="0" applyNumberFormat="1" applyFont="1" applyFill="1" applyBorder="1" applyAlignment="1">
      <alignment horizontal="right"/>
    </xf>
    <xf numFmtId="2" fontId="29" fillId="9" borderId="24" xfId="0" applyNumberFormat="1" applyFont="1" applyFill="1" applyBorder="1"/>
    <xf numFmtId="2" fontId="29" fillId="9" borderId="24" xfId="2" applyNumberFormat="1" applyFont="1" applyFill="1" applyBorder="1" applyAlignment="1">
      <alignment horizontal="left" indent="1"/>
    </xf>
    <xf numFmtId="0" fontId="29" fillId="9" borderId="25" xfId="0" applyFont="1" applyFill="1" applyBorder="1" applyAlignment="1">
      <alignment vertical="center"/>
    </xf>
    <xf numFmtId="2" fontId="29" fillId="12" borderId="23" xfId="0" applyNumberFormat="1" applyFont="1" applyFill="1" applyBorder="1" applyAlignment="1">
      <alignment horizontal="right"/>
    </xf>
    <xf numFmtId="0" fontId="29" fillId="12" borderId="24" xfId="0" applyFont="1" applyFill="1" applyBorder="1" applyAlignment="1">
      <alignment horizontal="right"/>
    </xf>
    <xf numFmtId="165" fontId="29" fillId="12" borderId="24" xfId="0" applyNumberFormat="1" applyFont="1" applyFill="1" applyBorder="1"/>
    <xf numFmtId="0" fontId="29" fillId="12" borderId="24" xfId="0" applyFont="1" applyFill="1" applyBorder="1" applyAlignment="1">
      <alignment horizontal="center"/>
    </xf>
    <xf numFmtId="2" fontId="29" fillId="12" borderId="24" xfId="0" applyNumberFormat="1" applyFont="1" applyFill="1" applyBorder="1"/>
    <xf numFmtId="0" fontId="29" fillId="12" borderId="24" xfId="0" applyNumberFormat="1" applyFont="1" applyFill="1" applyBorder="1"/>
    <xf numFmtId="0" fontId="29" fillId="12" borderId="24" xfId="0" applyFont="1" applyFill="1" applyBorder="1"/>
    <xf numFmtId="165" fontId="29" fillId="12" borderId="24" xfId="0" applyNumberFormat="1" applyFont="1" applyFill="1" applyBorder="1" applyAlignment="1">
      <alignment horizontal="center"/>
    </xf>
    <xf numFmtId="0" fontId="29" fillId="12" borderId="25" xfId="0" applyFont="1" applyFill="1" applyBorder="1"/>
    <xf numFmtId="2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2" fontId="29" fillId="3" borderId="0" xfId="0" applyNumberFormat="1" applyFont="1" applyFill="1" applyBorder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0" fontId="29" fillId="3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Border="1"/>
    <xf numFmtId="2" fontId="29" fillId="0" borderId="0" xfId="0" applyNumberFormat="1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29" fillId="0" borderId="28" xfId="0" applyFont="1" applyFill="1" applyBorder="1" applyAlignment="1">
      <alignment horizontal="right"/>
    </xf>
    <xf numFmtId="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164" fontId="1" fillId="6" borderId="0" xfId="0" applyNumberFormat="1" applyFont="1" applyFill="1" applyAlignment="1">
      <alignment horizontal="center"/>
    </xf>
    <xf numFmtId="14" fontId="57" fillId="0" borderId="6" xfId="0" applyNumberFormat="1" applyFont="1" applyFill="1" applyBorder="1" applyAlignment="1">
      <alignment vertical="center"/>
    </xf>
    <xf numFmtId="1" fontId="18" fillId="5" borderId="10" xfId="0" applyNumberFormat="1" applyFont="1" applyFill="1" applyBorder="1" applyAlignment="1" applyProtection="1">
      <alignment horizontal="right"/>
      <protection locked="0"/>
    </xf>
    <xf numFmtId="0" fontId="58" fillId="6" borderId="0" xfId="0" applyFont="1" applyFill="1" applyAlignment="1">
      <alignment horizontal="right"/>
    </xf>
    <xf numFmtId="2" fontId="59" fillId="6" borderId="0" xfId="0" applyNumberFormat="1" applyFont="1" applyFill="1" applyAlignment="1">
      <alignment horizontal="right" vertical="center"/>
    </xf>
    <xf numFmtId="2" fontId="19" fillId="4" borderId="10" xfId="0" applyNumberFormat="1" applyFont="1" applyFill="1" applyBorder="1" applyAlignment="1" applyProtection="1">
      <alignment horizontal="center"/>
    </xf>
    <xf numFmtId="2" fontId="19" fillId="5" borderId="24" xfId="0" applyNumberFormat="1" applyFont="1" applyFill="1" applyBorder="1" applyAlignment="1">
      <alignment horizontal="right"/>
    </xf>
    <xf numFmtId="0" fontId="5" fillId="6" borderId="0" xfId="0" applyFont="1" applyFill="1" applyAlignment="1" applyProtection="1">
      <alignment horizontal="right"/>
    </xf>
    <xf numFmtId="0" fontId="60" fillId="6" borderId="0" xfId="0" applyFont="1" applyFill="1" applyProtection="1">
      <protection hidden="1"/>
    </xf>
  </cellXfs>
  <cellStyles count="4">
    <cellStyle name="Euro" xfId="1"/>
    <cellStyle name="Hyperlink" xfId="3" builtinId="8"/>
    <cellStyle name="Komma" xfId="2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151086</xdr:rowOff>
    </xdr:from>
    <xdr:to>
      <xdr:col>3</xdr:col>
      <xdr:colOff>6569</xdr:colOff>
      <xdr:row>10</xdr:row>
      <xdr:rowOff>6569</xdr:rowOff>
    </xdr:to>
    <xdr:cxnSp macro="">
      <xdr:nvCxnSpPr>
        <xdr:cNvPr id="3" name="Gerade Verbindung 2"/>
        <xdr:cNvCxnSpPr/>
      </xdr:nvCxnSpPr>
      <xdr:spPr bwMode="auto">
        <a:xfrm>
          <a:off x="400707" y="729155"/>
          <a:ext cx="6569" cy="1057604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</xdr:col>
      <xdr:colOff>19707</xdr:colOff>
      <xdr:row>10</xdr:row>
      <xdr:rowOff>0</xdr:rowOff>
    </xdr:from>
    <xdr:to>
      <xdr:col>4</xdr:col>
      <xdr:colOff>236483</xdr:colOff>
      <xdr:row>10</xdr:row>
      <xdr:rowOff>0</xdr:rowOff>
    </xdr:to>
    <xdr:cxnSp macro="">
      <xdr:nvCxnSpPr>
        <xdr:cNvPr id="5" name="Gerade Verbindung 4"/>
        <xdr:cNvCxnSpPr/>
      </xdr:nvCxnSpPr>
      <xdr:spPr bwMode="auto">
        <a:xfrm>
          <a:off x="420414" y="1780190"/>
          <a:ext cx="1129862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onia.de/service/download/fach-downloads/" TargetMode="External"/><Relationship Id="rId2" Type="http://schemas.openxmlformats.org/officeDocument/2006/relationships/hyperlink" Target="http://www.optonia.de/service/download/fach-downloads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tonia.de/service/download/fach-download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optonia.de/service/download/fach-downloads/" TargetMode="External"/><Relationship Id="rId1" Type="http://schemas.openxmlformats.org/officeDocument/2006/relationships/hyperlink" Target="http://www.optonia.de/service/download/fach-downloads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optonia.de/service/download/fach-downloa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V110"/>
  <sheetViews>
    <sheetView showGridLines="0" tabSelected="1" zoomScale="120" zoomScaleNormal="120" workbookViewId="0">
      <selection activeCell="C4" sqref="C4"/>
    </sheetView>
  </sheetViews>
  <sheetFormatPr baseColWidth="10" defaultRowHeight="12.75" x14ac:dyDescent="0.2"/>
  <cols>
    <col min="1" max="1" width="1.7109375" style="60" customWidth="1"/>
    <col min="2" max="2" width="12.85546875" style="59" customWidth="1"/>
    <col min="3" max="3" width="6.85546875" style="60" customWidth="1"/>
    <col min="4" max="4" width="4.42578125" style="60" customWidth="1"/>
    <col min="5" max="5" width="17.7109375" style="60" customWidth="1"/>
    <col min="6" max="6" width="8.140625" style="60" customWidth="1"/>
    <col min="7" max="7" width="4.28515625" style="60" customWidth="1"/>
    <col min="8" max="8" width="4.85546875" style="60" customWidth="1"/>
    <col min="9" max="9" width="4.140625" style="60" customWidth="1"/>
    <col min="10" max="10" width="10.42578125" style="60" customWidth="1"/>
    <col min="11" max="11" width="13" style="60" customWidth="1"/>
    <col min="12" max="12" width="1.42578125" style="60" customWidth="1"/>
    <col min="13" max="13" width="6.85546875" style="60" customWidth="1"/>
    <col min="14" max="14" width="3.85546875" style="60" customWidth="1"/>
    <col min="15" max="15" width="1.85546875" style="60" customWidth="1"/>
    <col min="16" max="16" width="5.28515625" style="60" customWidth="1"/>
    <col min="17" max="17" width="3.85546875" style="60" customWidth="1"/>
    <col min="18" max="18" width="6.5703125" style="60" customWidth="1"/>
    <col min="19" max="19" width="2.140625" style="60" customWidth="1"/>
    <col min="20" max="20" width="7" style="60" customWidth="1"/>
    <col min="21" max="21" width="2.5703125" style="60" customWidth="1"/>
    <col min="22" max="22" width="6.5703125" style="60" customWidth="1"/>
    <col min="23" max="23" width="8.140625" style="60" customWidth="1"/>
    <col min="24" max="24" width="6.42578125" style="60" customWidth="1"/>
    <col min="25" max="25" width="7.28515625" style="60" customWidth="1"/>
    <col min="26" max="26" width="2.28515625" style="60" customWidth="1"/>
    <col min="27" max="27" width="1.42578125" style="60" customWidth="1"/>
    <col min="28" max="28" width="9.42578125" style="60" customWidth="1"/>
    <col min="29" max="29" width="2.7109375" style="60" customWidth="1"/>
    <col min="30" max="30" width="43.28515625" style="60" customWidth="1"/>
    <col min="31" max="31" width="8.5703125" style="60" customWidth="1"/>
    <col min="32" max="32" width="7.42578125" style="60" customWidth="1"/>
    <col min="33" max="33" width="2.42578125" style="60" customWidth="1"/>
    <col min="34" max="34" width="10.140625" style="60" customWidth="1"/>
    <col min="35" max="36" width="4.140625" style="60" customWidth="1"/>
    <col min="37" max="37" width="5.5703125" style="60" customWidth="1"/>
    <col min="38" max="38" width="1.7109375" style="60" customWidth="1"/>
    <col min="39" max="39" width="14.28515625" style="60" customWidth="1"/>
    <col min="40" max="40" width="7.5703125" style="60" customWidth="1"/>
    <col min="41" max="41" width="8.85546875" style="60" customWidth="1"/>
    <col min="42" max="42" width="8.140625" style="60" customWidth="1"/>
    <col min="43" max="43" width="10.28515625" style="60" customWidth="1"/>
    <col min="44" max="44" width="6.140625" style="60" customWidth="1"/>
    <col min="45" max="45" width="7.5703125" style="60" customWidth="1"/>
    <col min="46" max="46" width="9.85546875" style="60" customWidth="1"/>
    <col min="47" max="47" width="9.42578125" style="60" customWidth="1"/>
    <col min="48" max="48" width="4.5703125" style="60" customWidth="1"/>
    <col min="49" max="49" width="1.7109375" style="60" customWidth="1"/>
    <col min="50" max="50" width="9.5703125" style="59" customWidth="1"/>
    <col min="51" max="51" width="11.42578125" style="60"/>
    <col min="52" max="52" width="3.7109375" style="60" customWidth="1"/>
    <col min="53" max="53" width="12.28515625" style="60" customWidth="1"/>
    <col min="54" max="54" width="11.42578125" style="60"/>
    <col min="55" max="55" width="13.140625" style="60" bestFit="1" customWidth="1"/>
    <col min="56" max="16384" width="11.42578125" style="60"/>
  </cols>
  <sheetData>
    <row r="1" spans="1:74" ht="21" customHeight="1" x14ac:dyDescent="0.2">
      <c r="A1" s="191"/>
      <c r="B1" s="61" t="s">
        <v>235</v>
      </c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19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192"/>
      <c r="AM1" s="61" t="s">
        <v>46</v>
      </c>
      <c r="AN1" s="63"/>
      <c r="AO1" s="63"/>
      <c r="AP1" s="63"/>
      <c r="AQ1" s="63"/>
      <c r="AR1" s="63" t="s">
        <v>227</v>
      </c>
      <c r="AS1" s="63"/>
      <c r="AT1" s="63"/>
      <c r="AU1" s="201"/>
      <c r="AV1" s="63"/>
      <c r="AW1" s="202"/>
      <c r="AX1" s="69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1"/>
    </row>
    <row r="2" spans="1:74" ht="14.25" customHeight="1" x14ac:dyDescent="0.2">
      <c r="A2" s="191"/>
      <c r="B2" s="64"/>
      <c r="C2" s="309"/>
      <c r="D2" s="309"/>
      <c r="E2" s="309"/>
      <c r="F2" s="309"/>
      <c r="G2" s="309"/>
      <c r="H2" s="65"/>
      <c r="I2" s="66"/>
      <c r="J2" s="66"/>
      <c r="K2" s="66"/>
      <c r="L2" s="38"/>
      <c r="M2" s="65"/>
      <c r="N2" s="65"/>
      <c r="O2" s="65"/>
      <c r="P2" s="65"/>
      <c r="Q2" s="65"/>
      <c r="R2" s="65"/>
      <c r="S2" s="65"/>
      <c r="T2" s="72"/>
      <c r="U2" s="307"/>
      <c r="V2" s="65"/>
      <c r="W2" s="65"/>
      <c r="X2" s="65"/>
      <c r="Y2" s="65"/>
      <c r="Z2" s="65"/>
      <c r="AA2" s="192"/>
      <c r="AB2" s="65"/>
      <c r="AC2" s="67"/>
      <c r="AD2" s="67"/>
      <c r="AE2" s="67"/>
      <c r="AF2" s="67"/>
      <c r="AG2" s="67"/>
      <c r="AH2" s="67"/>
      <c r="AI2" s="67"/>
      <c r="AJ2" s="65"/>
      <c r="AK2" s="65"/>
      <c r="AL2" s="192"/>
      <c r="AM2" s="68" t="s">
        <v>102</v>
      </c>
      <c r="AN2" s="65"/>
      <c r="AO2" s="65"/>
      <c r="AP2" s="69">
        <f>J4</f>
        <v>1.5</v>
      </c>
      <c r="AQ2" s="69">
        <f>J5</f>
        <v>0.5</v>
      </c>
      <c r="AR2" s="38">
        <f>J6</f>
        <v>100</v>
      </c>
      <c r="AS2" s="67" t="s">
        <v>4</v>
      </c>
      <c r="AT2" s="70" t="s">
        <v>165</v>
      </c>
      <c r="AU2" s="71"/>
      <c r="AV2" s="65"/>
      <c r="AW2" s="193"/>
      <c r="AX2" s="69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1"/>
    </row>
    <row r="3" spans="1:74" ht="14.1" customHeight="1" x14ac:dyDescent="0.2">
      <c r="A3" s="191"/>
      <c r="B3" s="74" t="s">
        <v>70</v>
      </c>
      <c r="C3" s="75"/>
      <c r="D3" s="72"/>
      <c r="E3" s="74" t="s">
        <v>137</v>
      </c>
      <c r="F3" s="72"/>
      <c r="G3" s="72"/>
      <c r="H3" s="72"/>
      <c r="I3" s="76" t="s">
        <v>170</v>
      </c>
      <c r="J3" s="77"/>
      <c r="K3" s="77"/>
      <c r="L3" s="38"/>
      <c r="M3" s="78" t="s">
        <v>173</v>
      </c>
      <c r="N3" s="38"/>
      <c r="O3" s="38"/>
      <c r="P3" s="79"/>
      <c r="Q3" s="38"/>
      <c r="R3" s="72"/>
      <c r="S3" s="72"/>
      <c r="T3" s="72"/>
      <c r="U3" s="72"/>
      <c r="V3" s="72"/>
      <c r="W3" s="72"/>
      <c r="X3" s="72"/>
      <c r="Y3" s="72"/>
      <c r="Z3" s="72"/>
      <c r="AA3" s="193"/>
      <c r="AB3" s="72"/>
      <c r="AC3" s="38"/>
      <c r="AD3" s="2"/>
      <c r="AE3" s="31"/>
      <c r="AF3" s="31"/>
      <c r="AG3" s="4"/>
      <c r="AH3" s="4"/>
      <c r="AI3" s="6"/>
      <c r="AJ3" s="72"/>
      <c r="AK3" s="72"/>
      <c r="AL3" s="193"/>
      <c r="AM3" s="38" t="s">
        <v>166</v>
      </c>
      <c r="AN3" s="38"/>
      <c r="AO3" s="38"/>
      <c r="AP3" s="15" t="s">
        <v>26</v>
      </c>
      <c r="AQ3" s="80" t="str">
        <f>IF(AND(C6&gt;=0,C6&lt;=45,C5&lt;0),"Rectus",IF(AND(C6&gt;=135,C6&lt;=180,C5&lt;0),"Rectus","Inversus"))</f>
        <v>Rectus</v>
      </c>
      <c r="AR3" s="81" t="s">
        <v>24</v>
      </c>
      <c r="AS3" s="80" t="str">
        <f>IF(AND(C10&gt;=0,C10&lt;=45,C9&gt;C11),"Rectus",IF(AND(C10&gt;=135,C10&lt;=180,C9&gt;C11),"Rectus","Inversus"))</f>
        <v>Rectus</v>
      </c>
      <c r="AT3" s="38"/>
      <c r="AU3" s="38"/>
      <c r="AV3" s="38"/>
      <c r="AW3" s="191"/>
      <c r="AX3" s="69"/>
      <c r="AY3" s="38"/>
      <c r="AZ3" s="82"/>
      <c r="BA3" s="82"/>
      <c r="BB3" s="82"/>
      <c r="BC3" s="38"/>
      <c r="BD3" s="38"/>
      <c r="BE3" s="38"/>
      <c r="BF3" s="38"/>
      <c r="BG3" s="38"/>
      <c r="BH3" s="38"/>
      <c r="BI3" s="38"/>
      <c r="BJ3" s="38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1"/>
    </row>
    <row r="4" spans="1:74" ht="14.1" customHeight="1" x14ac:dyDescent="0.2">
      <c r="A4" s="191"/>
      <c r="B4" s="83" t="s">
        <v>32</v>
      </c>
      <c r="C4" s="203">
        <v>2</v>
      </c>
      <c r="D4" s="83" t="s">
        <v>37</v>
      </c>
      <c r="E4" s="84" t="s">
        <v>32</v>
      </c>
      <c r="F4" s="85">
        <f>C4/(1-C7/1000*C4)</f>
        <v>2</v>
      </c>
      <c r="G4" s="86" t="s">
        <v>37</v>
      </c>
      <c r="H4" s="87"/>
      <c r="I4" s="87"/>
      <c r="J4" s="88">
        <f>F4+F5</f>
        <v>1.5</v>
      </c>
      <c r="K4" s="82"/>
      <c r="L4" s="38"/>
      <c r="M4" s="89" t="s">
        <v>150</v>
      </c>
      <c r="N4" s="67"/>
      <c r="O4" s="38"/>
      <c r="P4" s="38"/>
      <c r="Q4" s="90" t="str">
        <f>AT20</f>
        <v>asphärische Geometrie</v>
      </c>
      <c r="R4" s="38"/>
      <c r="S4" s="90"/>
      <c r="T4" s="90"/>
      <c r="U4" s="90"/>
      <c r="V4" s="91" t="str">
        <f>IF(ABS(C9-C11)&lt;0.45,"/ rotationssymmetrisch (RS)","/ rücktorisch (RT)")</f>
        <v>/ rotationssymmetrisch (RS)</v>
      </c>
      <c r="W4" s="91"/>
      <c r="X4" s="90"/>
      <c r="Y4" s="82"/>
      <c r="Z4" s="82"/>
      <c r="AA4" s="194"/>
      <c r="AB4" s="82"/>
      <c r="AC4" s="38"/>
      <c r="AD4" s="2"/>
      <c r="AE4" s="31"/>
      <c r="AF4" s="4"/>
      <c r="AG4" s="4"/>
      <c r="AH4" s="4"/>
      <c r="AI4" s="6"/>
      <c r="AJ4" s="82"/>
      <c r="AK4" s="82"/>
      <c r="AL4" s="194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191"/>
      <c r="AX4" s="69"/>
      <c r="AY4" s="38"/>
      <c r="AZ4" s="82"/>
      <c r="BA4" s="82"/>
      <c r="BB4" s="67"/>
      <c r="BC4" s="82"/>
      <c r="BD4" s="38"/>
      <c r="BE4" s="38"/>
      <c r="BF4" s="38"/>
      <c r="BG4" s="38"/>
      <c r="BH4" s="38"/>
      <c r="BI4" s="38"/>
      <c r="BJ4" s="38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1"/>
    </row>
    <row r="5" spans="1:74" ht="14.1" customHeight="1" x14ac:dyDescent="0.2">
      <c r="A5" s="191"/>
      <c r="B5" s="83" t="s">
        <v>69</v>
      </c>
      <c r="C5" s="204">
        <v>-0.5</v>
      </c>
      <c r="D5" s="83" t="s">
        <v>37</v>
      </c>
      <c r="E5" s="84" t="s">
        <v>138</v>
      </c>
      <c r="F5" s="85">
        <f>(C4+C5)/(1-C7/1000*(C4+C5))-F4</f>
        <v>-0.5</v>
      </c>
      <c r="G5" s="86" t="s">
        <v>37</v>
      </c>
      <c r="H5" s="87"/>
      <c r="I5" s="87"/>
      <c r="J5" s="88">
        <f>F5*(-1)</f>
        <v>0.5</v>
      </c>
      <c r="K5" s="67"/>
      <c r="L5" s="38"/>
      <c r="M5" s="89" t="s">
        <v>144</v>
      </c>
      <c r="N5" s="67"/>
      <c r="O5" s="38"/>
      <c r="P5" s="38"/>
      <c r="Q5" s="91" t="str">
        <f>F14</f>
        <v>sph. wirksame Weichlinse</v>
      </c>
      <c r="R5" s="90"/>
      <c r="S5" s="90"/>
      <c r="T5" s="90"/>
      <c r="U5" s="90"/>
      <c r="V5" s="90"/>
      <c r="W5" s="90"/>
      <c r="X5" s="67"/>
      <c r="Y5" s="38"/>
      <c r="Z5" s="67"/>
      <c r="AA5" s="195"/>
      <c r="AB5" s="67"/>
      <c r="AC5" s="38"/>
      <c r="AD5" s="2"/>
      <c r="AE5" s="31"/>
      <c r="AF5" s="31"/>
      <c r="AG5" s="4"/>
      <c r="AH5" s="92"/>
      <c r="AI5" s="6"/>
      <c r="AJ5" s="67"/>
      <c r="AK5" s="67"/>
      <c r="AL5" s="195"/>
      <c r="AM5" s="93" t="s">
        <v>19</v>
      </c>
      <c r="AN5" s="67"/>
      <c r="AO5" s="94"/>
      <c r="AP5" s="95" t="s">
        <v>47</v>
      </c>
      <c r="AQ5" s="73" t="str">
        <f>IF(AO12&gt;8.2,"flache",IF(AO12&lt;7.4,"steile","normale"))</f>
        <v>normale</v>
      </c>
      <c r="AR5" s="67"/>
      <c r="AS5" s="67" t="s">
        <v>0</v>
      </c>
      <c r="AT5" s="67"/>
      <c r="AU5" s="67" t="str">
        <f>IF(AO12&lt;7,"Keratokonus ?","")</f>
        <v/>
      </c>
      <c r="AV5" s="67"/>
      <c r="AW5" s="195"/>
      <c r="AX5" s="67"/>
      <c r="AY5" s="38"/>
      <c r="AZ5" s="82"/>
      <c r="BA5" s="38"/>
      <c r="BB5" s="82"/>
      <c r="BC5" s="67"/>
      <c r="BD5" s="38"/>
      <c r="BE5" s="38"/>
      <c r="BF5" s="38"/>
      <c r="BG5" s="38"/>
      <c r="BH5" s="38"/>
      <c r="BI5" s="38"/>
      <c r="BJ5" s="38"/>
      <c r="BK5" s="73"/>
      <c r="BL5" s="79"/>
      <c r="BM5" s="79"/>
      <c r="BN5" s="79"/>
      <c r="BO5" s="67"/>
      <c r="BP5" s="67"/>
      <c r="BQ5" s="67"/>
      <c r="BR5" s="67"/>
      <c r="BS5" s="67"/>
      <c r="BT5" s="67"/>
      <c r="BU5" s="67"/>
    </row>
    <row r="6" spans="1:74" ht="14.1" customHeight="1" x14ac:dyDescent="0.2">
      <c r="A6" s="191"/>
      <c r="B6" s="96" t="s">
        <v>6</v>
      </c>
      <c r="C6" s="205">
        <v>10</v>
      </c>
      <c r="D6" s="83" t="s">
        <v>4</v>
      </c>
      <c r="E6" s="97" t="s">
        <v>6</v>
      </c>
      <c r="F6" s="87">
        <f>C6</f>
        <v>10</v>
      </c>
      <c r="G6" s="86" t="s">
        <v>4</v>
      </c>
      <c r="H6" s="87"/>
      <c r="I6" s="87"/>
      <c r="J6" s="82">
        <f>IF(C6&gt;90,C6-90,C6+90)</f>
        <v>100</v>
      </c>
      <c r="K6" s="82" t="s">
        <v>4</v>
      </c>
      <c r="L6" s="38"/>
      <c r="M6" s="38" t="s">
        <v>171</v>
      </c>
      <c r="N6" s="38"/>
      <c r="O6" s="38"/>
      <c r="P6" s="38"/>
      <c r="Q6" s="91" t="str">
        <f>IF(ABS(F13)&lt;ABS(F12),"IA &lt; GA  -&gt; Hartlinsenvorteil","GA &lt; IA  -&gt; Weichlinsenvorteil")</f>
        <v>GA &lt; IA  -&gt; Weichlinsenvorteil</v>
      </c>
      <c r="R6" s="91"/>
      <c r="S6" s="91"/>
      <c r="T6" s="91"/>
      <c r="U6" s="91"/>
      <c r="V6" s="90"/>
      <c r="W6" s="90"/>
      <c r="X6" s="82"/>
      <c r="Y6" s="38"/>
      <c r="Z6" s="82"/>
      <c r="AA6" s="194"/>
      <c r="AB6" s="82"/>
      <c r="AC6" s="38"/>
      <c r="AD6" s="2"/>
      <c r="AE6" s="31"/>
      <c r="AF6" s="31"/>
      <c r="AG6" s="4"/>
      <c r="AH6" s="92"/>
      <c r="AI6" s="6"/>
      <c r="AJ6" s="82"/>
      <c r="AK6" s="82"/>
      <c r="AL6" s="194"/>
      <c r="AM6" s="93" t="s">
        <v>22</v>
      </c>
      <c r="AN6" s="67"/>
      <c r="AO6" s="67"/>
      <c r="AP6" s="95" t="s">
        <v>47</v>
      </c>
      <c r="AQ6" s="73" t="str">
        <f>IF(AS14&gt;0.3,"stark",IF(AS14&lt;0.09,"gering","normal"))</f>
        <v>normal</v>
      </c>
      <c r="AR6" s="67"/>
      <c r="AS6" s="67" t="s">
        <v>23</v>
      </c>
      <c r="AT6" s="67"/>
      <c r="AU6" s="67"/>
      <c r="AV6" s="67"/>
      <c r="AW6" s="195"/>
      <c r="AX6" s="67"/>
      <c r="AY6" s="67"/>
      <c r="AZ6" s="38"/>
      <c r="BA6" s="38"/>
      <c r="BB6" s="67"/>
      <c r="BC6" s="82"/>
      <c r="BD6" s="38"/>
      <c r="BE6" s="38"/>
      <c r="BF6" s="38"/>
      <c r="BG6" s="38"/>
      <c r="BH6" s="38"/>
      <c r="BI6" s="38"/>
      <c r="BJ6" s="38"/>
      <c r="BK6" s="73"/>
      <c r="BL6" s="67"/>
      <c r="BM6" s="67"/>
      <c r="BN6" s="67"/>
      <c r="BO6" s="67"/>
      <c r="BP6" s="67"/>
      <c r="BQ6" s="67"/>
      <c r="BR6" s="67"/>
      <c r="BS6" s="67"/>
      <c r="BT6" s="67"/>
      <c r="BU6" s="67"/>
    </row>
    <row r="7" spans="1:74" ht="14.1" customHeight="1" x14ac:dyDescent="0.2">
      <c r="A7" s="191"/>
      <c r="B7" s="96" t="s">
        <v>40</v>
      </c>
      <c r="C7" s="206">
        <v>0</v>
      </c>
      <c r="D7" s="83" t="s">
        <v>1</v>
      </c>
      <c r="E7" s="97" t="s">
        <v>40</v>
      </c>
      <c r="F7" s="87">
        <v>0</v>
      </c>
      <c r="G7" s="86" t="s">
        <v>1</v>
      </c>
      <c r="H7" s="87"/>
      <c r="I7" s="87"/>
      <c r="J7" s="86"/>
      <c r="K7" s="67"/>
      <c r="L7" s="38"/>
      <c r="M7" s="67"/>
      <c r="N7" s="67"/>
      <c r="O7" s="73"/>
      <c r="P7" s="73"/>
      <c r="Q7" s="91" t="str">
        <f>IF(ABS(F13)&lt;ABS(F12),IF(ABS(F13)&lt;=0.5,"IA &lt;= 0,5  -&gt; sphärisch wirksame Linse","IA &gt; 0,5  -&gt;  astigmatische Linse"),IF(ABS(F12)&lt;=0.5,"GA &lt;= 0,5  -&gt; sphärisch wirksame Linse","GA &gt; 0,5  -&gt;  astigmatische Linse"))</f>
        <v>GA &lt;= 0,5  -&gt; sphärisch wirksame Linse</v>
      </c>
      <c r="R7" s="91"/>
      <c r="S7" s="91"/>
      <c r="T7" s="91"/>
      <c r="U7" s="90"/>
      <c r="V7" s="90"/>
      <c r="W7" s="90"/>
      <c r="X7" s="67"/>
      <c r="Y7" s="38"/>
      <c r="Z7" s="67"/>
      <c r="AA7" s="195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195"/>
      <c r="AM7" s="93" t="s">
        <v>33</v>
      </c>
      <c r="AN7" s="67"/>
      <c r="AO7" s="67"/>
      <c r="AP7" s="95" t="s">
        <v>47</v>
      </c>
      <c r="AQ7" s="73" t="s">
        <v>24</v>
      </c>
      <c r="AR7" s="95" t="s">
        <v>25</v>
      </c>
      <c r="AS7" s="93">
        <f>-AS14*6</f>
        <v>-1.0800000000000036</v>
      </c>
      <c r="AT7" s="67">
        <f>IF(C9&gt;C11,C10,IF(C10&gt;90,C10-90,C10+90))</f>
        <v>10</v>
      </c>
      <c r="AU7" s="67" t="s">
        <v>4</v>
      </c>
      <c r="AV7" s="67"/>
      <c r="AW7" s="195"/>
      <c r="AX7" s="67"/>
      <c r="AY7" s="98"/>
      <c r="AZ7" s="38"/>
      <c r="BA7" s="38"/>
      <c r="BB7" s="38"/>
      <c r="BC7" s="67"/>
      <c r="BD7" s="38"/>
      <c r="BE7" s="38"/>
      <c r="BF7" s="38"/>
      <c r="BG7" s="38"/>
      <c r="BH7" s="38"/>
      <c r="BI7" s="38"/>
      <c r="BJ7" s="38"/>
      <c r="BK7" s="73"/>
      <c r="BL7" s="79"/>
      <c r="BM7" s="67"/>
      <c r="BN7" s="67"/>
      <c r="BO7" s="67"/>
      <c r="BP7" s="67"/>
      <c r="BQ7" s="67"/>
      <c r="BR7" s="93"/>
      <c r="BS7" s="99"/>
      <c r="BT7" s="100"/>
      <c r="BU7" s="67"/>
    </row>
    <row r="8" spans="1:74" ht="15" customHeight="1" x14ac:dyDescent="0.2">
      <c r="A8" s="191"/>
      <c r="B8" s="101" t="s">
        <v>135</v>
      </c>
      <c r="C8" s="69"/>
      <c r="D8" s="83"/>
      <c r="E8" s="102" t="s">
        <v>139</v>
      </c>
      <c r="F8" s="87"/>
      <c r="G8" s="87"/>
      <c r="H8" s="87"/>
      <c r="I8" s="87"/>
      <c r="J8" s="86"/>
      <c r="K8" s="67"/>
      <c r="L8" s="38"/>
      <c r="M8" s="38"/>
      <c r="N8" s="38"/>
      <c r="O8" s="38"/>
      <c r="P8" s="38"/>
      <c r="Q8" s="91" t="str">
        <f>IF(ABS(F13)&lt;ABS(F12),IF(AS14&lt;0.4,"Δ rc &lt; 0,4  -&gt;  rotationssymmetrische Rückfläche","Δ rc &gt;= 0,4  -&gt;  rücktorische Fläche"),"")</f>
        <v/>
      </c>
      <c r="R8" s="91"/>
      <c r="S8" s="91"/>
      <c r="T8" s="91"/>
      <c r="U8" s="91"/>
      <c r="V8" s="91"/>
      <c r="W8" s="91"/>
      <c r="X8" s="38"/>
      <c r="Y8" s="38"/>
      <c r="Z8" s="67"/>
      <c r="AA8" s="195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195"/>
      <c r="AM8" s="73" t="s">
        <v>26</v>
      </c>
      <c r="AN8" s="95" t="s">
        <v>25</v>
      </c>
      <c r="AO8" s="93">
        <f>F5</f>
        <v>-0.5</v>
      </c>
      <c r="AP8" s="67">
        <f>IF(C5=0," ",C6)</f>
        <v>10</v>
      </c>
      <c r="AQ8" s="73" t="s">
        <v>53</v>
      </c>
      <c r="AR8" s="95" t="s">
        <v>25</v>
      </c>
      <c r="AS8" s="93">
        <f>IF(AQ3=AS3,AO8-AS7,AO8*(-1)-AS7)</f>
        <v>0.58000000000000362</v>
      </c>
      <c r="AT8" s="103">
        <f>AT7</f>
        <v>10</v>
      </c>
      <c r="AU8" s="103" t="s">
        <v>4</v>
      </c>
      <c r="AV8" s="103"/>
      <c r="AW8" s="198"/>
      <c r="AX8" s="103"/>
      <c r="AY8" s="67"/>
      <c r="AZ8" s="104"/>
      <c r="BA8" s="104"/>
      <c r="BB8" s="67"/>
      <c r="BC8" s="67"/>
      <c r="BD8" s="38"/>
      <c r="BE8" s="38"/>
      <c r="BF8" s="38"/>
      <c r="BG8" s="38"/>
      <c r="BH8" s="38"/>
      <c r="BI8" s="38"/>
      <c r="BJ8" s="38"/>
      <c r="BK8" s="73"/>
      <c r="BL8" s="79"/>
      <c r="BM8" s="67"/>
      <c r="BN8" s="67"/>
      <c r="BO8" s="67"/>
      <c r="BP8" s="67"/>
      <c r="BQ8" s="67"/>
      <c r="BR8" s="93"/>
      <c r="BS8" s="99"/>
      <c r="BT8" s="100"/>
      <c r="BU8" s="67"/>
    </row>
    <row r="9" spans="1:74" ht="14.1" customHeight="1" x14ac:dyDescent="0.2">
      <c r="A9" s="191"/>
      <c r="B9" s="83" t="s">
        <v>5</v>
      </c>
      <c r="C9" s="203">
        <v>7.78</v>
      </c>
      <c r="D9" s="83" t="s">
        <v>1</v>
      </c>
      <c r="E9" s="105" t="s">
        <v>140</v>
      </c>
      <c r="F9" s="106" t="str">
        <f>AQ5</f>
        <v>normale</v>
      </c>
      <c r="G9" s="87" t="str">
        <f>AS5</f>
        <v>Zentralradien</v>
      </c>
      <c r="H9" s="87"/>
      <c r="I9" s="87"/>
      <c r="J9" s="86"/>
      <c r="K9" s="67"/>
      <c r="L9" s="38"/>
      <c r="M9" s="38"/>
      <c r="N9" s="38"/>
      <c r="O9" s="38"/>
      <c r="P9" s="38"/>
      <c r="Q9" s="90" t="str">
        <f>IF(Q5="RT - rücktorische HL / BTX",IF(AND(Q5="RT - rücktorische HL / BTX",ABS(F11/3-F13)&lt;=0.1),"RT - Vollkorrektionsfall weil IA=HHA/3","RT - Linse als Messlinse für BTX"),"")</f>
        <v/>
      </c>
      <c r="R9" s="38"/>
      <c r="S9" s="90"/>
      <c r="T9" s="90"/>
      <c r="U9" s="90"/>
      <c r="V9" s="91"/>
      <c r="W9" s="91"/>
      <c r="X9" s="91"/>
      <c r="Y9" s="38"/>
      <c r="Z9" s="67"/>
      <c r="AA9" s="195"/>
      <c r="AB9" s="67"/>
      <c r="AC9" s="38"/>
      <c r="AD9" s="38"/>
      <c r="AE9" s="38"/>
      <c r="AF9" s="38"/>
      <c r="AG9" s="38"/>
      <c r="AH9" s="38"/>
      <c r="AI9" s="38"/>
      <c r="AJ9" s="67"/>
      <c r="AK9" s="67"/>
      <c r="AL9" s="195"/>
      <c r="AM9" s="69" t="s">
        <v>62</v>
      </c>
      <c r="AN9" s="67"/>
      <c r="AO9" s="38"/>
      <c r="AP9" s="67"/>
      <c r="AQ9" s="73"/>
      <c r="AR9" s="38"/>
      <c r="AS9" s="67"/>
      <c r="AT9" s="107" t="str">
        <f>IF(ABS(AS8)&lt;ABS(AO8),IF(ABS(AS8)&gt;0.5,IF(AS14&lt;0.4,"VPT - vorderprismatischtorische HL","RT - rücktorische HL / BTX"),IF(AS14&lt;0.45,"RS - rotationssym. HL","BTC - bitorischkompensierte HL")),IF(ABS(AO8)&gt;0.5,"torische Weichlinse","sph. wirksame Weichlinse"))</f>
        <v>sph. wirksame Weichlinse</v>
      </c>
      <c r="AU9" s="38"/>
      <c r="AV9" s="107"/>
      <c r="AW9" s="199"/>
      <c r="AX9" s="69"/>
      <c r="AY9" s="38"/>
      <c r="AZ9" s="38"/>
      <c r="BA9" s="38"/>
      <c r="BB9" s="38"/>
      <c r="BC9" s="67"/>
      <c r="BD9" s="38"/>
      <c r="BE9" s="38"/>
      <c r="BF9" s="38"/>
      <c r="BG9" s="38"/>
      <c r="BH9" s="38"/>
      <c r="BI9" s="38"/>
      <c r="BJ9" s="38"/>
      <c r="BK9" s="73"/>
      <c r="BL9" s="79"/>
      <c r="BM9" s="67"/>
      <c r="BN9" s="67"/>
      <c r="BO9" s="67"/>
      <c r="BP9" s="67"/>
      <c r="BQ9" s="67"/>
      <c r="BR9" s="93"/>
      <c r="BS9" s="99"/>
      <c r="BT9" s="100"/>
      <c r="BU9" s="67"/>
    </row>
    <row r="10" spans="1:74" ht="14.1" customHeight="1" x14ac:dyDescent="0.2">
      <c r="A10" s="191"/>
      <c r="B10" s="83" t="s">
        <v>44</v>
      </c>
      <c r="C10" s="207">
        <v>10</v>
      </c>
      <c r="D10" s="83" t="s">
        <v>4</v>
      </c>
      <c r="E10" s="105" t="s">
        <v>158</v>
      </c>
      <c r="F10" s="106" t="str">
        <f>AQ6</f>
        <v>normal</v>
      </c>
      <c r="G10" s="87" t="str">
        <f>AS6</f>
        <v>torische Hornhaut</v>
      </c>
      <c r="H10" s="87"/>
      <c r="I10" s="87"/>
      <c r="J10" s="86"/>
      <c r="K10" s="67"/>
      <c r="L10" s="38"/>
      <c r="M10" s="38"/>
      <c r="N10" s="38"/>
      <c r="O10" s="38"/>
      <c r="P10" s="38"/>
      <c r="Q10" s="38"/>
      <c r="R10" s="67"/>
      <c r="S10" s="67"/>
      <c r="T10" s="67"/>
      <c r="U10" s="67"/>
      <c r="V10" s="38"/>
      <c r="W10" s="38"/>
      <c r="X10" s="38"/>
      <c r="Y10" s="38"/>
      <c r="Z10" s="67"/>
      <c r="AA10" s="195"/>
      <c r="AB10" s="67"/>
      <c r="AC10" s="38"/>
      <c r="AD10" s="38"/>
      <c r="AE10" s="38"/>
      <c r="AF10" s="38"/>
      <c r="AG10" s="38"/>
      <c r="AH10" s="38"/>
      <c r="AI10" s="38"/>
      <c r="AJ10" s="67"/>
      <c r="AK10" s="67"/>
      <c r="AL10" s="195"/>
      <c r="AM10" s="108" t="s">
        <v>15</v>
      </c>
      <c r="AN10" s="67" t="s">
        <v>13</v>
      </c>
      <c r="AO10" s="109">
        <f>IF(C9&gt;=C11,C13+AS14,C13-AS14)</f>
        <v>8.120000000000001</v>
      </c>
      <c r="AP10" s="67" t="s">
        <v>1</v>
      </c>
      <c r="AQ10" s="110" t="s">
        <v>17</v>
      </c>
      <c r="AR10" s="67" t="s">
        <v>13</v>
      </c>
      <c r="AS10" s="111">
        <f>IF(C9&gt;=C11,C15-AS14,C15+AS14)</f>
        <v>8.0300000000000011</v>
      </c>
      <c r="AT10" s="67" t="s">
        <v>1</v>
      </c>
      <c r="AU10" s="67"/>
      <c r="AV10" s="67"/>
      <c r="AW10" s="195"/>
      <c r="AX10" s="103"/>
      <c r="AY10" s="38"/>
      <c r="AZ10" s="38"/>
      <c r="BA10" s="38"/>
      <c r="BB10" s="38"/>
      <c r="BC10" s="67"/>
      <c r="BD10" s="38"/>
      <c r="BE10" s="38"/>
      <c r="BF10" s="38"/>
      <c r="BG10" s="38"/>
      <c r="BH10" s="38"/>
      <c r="BI10" s="38"/>
      <c r="BJ10" s="38"/>
      <c r="BK10" s="73"/>
      <c r="BL10" s="67"/>
      <c r="BM10" s="67"/>
      <c r="BN10" s="67"/>
      <c r="BO10" s="67"/>
      <c r="BP10" s="67"/>
      <c r="BQ10" s="67"/>
      <c r="BR10" s="67"/>
      <c r="BS10" s="67"/>
      <c r="BT10" s="67"/>
      <c r="BU10" s="67"/>
    </row>
    <row r="11" spans="1:74" ht="14.1" customHeight="1" x14ac:dyDescent="0.2">
      <c r="A11" s="191"/>
      <c r="B11" s="83" t="s">
        <v>7</v>
      </c>
      <c r="C11" s="204">
        <v>7.6</v>
      </c>
      <c r="D11" s="83" t="s">
        <v>1</v>
      </c>
      <c r="E11" s="73" t="s">
        <v>141</v>
      </c>
      <c r="F11" s="85">
        <f>AS7</f>
        <v>-1.0800000000000036</v>
      </c>
      <c r="G11" s="87">
        <f>AT7</f>
        <v>10</v>
      </c>
      <c r="H11" s="87" t="s">
        <v>4</v>
      </c>
      <c r="I11" s="87"/>
      <c r="J11" s="86"/>
      <c r="K11" s="67"/>
      <c r="L11" s="38"/>
      <c r="M11" s="78" t="s">
        <v>153</v>
      </c>
      <c r="N11" s="67"/>
      <c r="O11" s="38"/>
      <c r="P11" s="73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195"/>
      <c r="AB11" s="67"/>
      <c r="AC11" s="38"/>
      <c r="AD11" s="38"/>
      <c r="AE11" s="38"/>
      <c r="AF11" s="38"/>
      <c r="AG11" s="38"/>
      <c r="AH11" s="38"/>
      <c r="AI11" s="38"/>
      <c r="AJ11" s="67"/>
      <c r="AK11" s="67"/>
      <c r="AL11" s="195"/>
      <c r="AM11" s="108" t="s">
        <v>16</v>
      </c>
      <c r="AN11" s="67" t="s">
        <v>13</v>
      </c>
      <c r="AO11" s="109">
        <f>IF(C9&gt;=C11,C14+AS14,C14-AS14)</f>
        <v>7.9600000000000009</v>
      </c>
      <c r="AP11" s="67" t="s">
        <v>1</v>
      </c>
      <c r="AQ11" s="110" t="s">
        <v>18</v>
      </c>
      <c r="AR11" s="67" t="s">
        <v>13</v>
      </c>
      <c r="AS11" s="111">
        <f>IF(C9&gt;=C11,C16-AS14,C16+AS14)</f>
        <v>8.0599999999999987</v>
      </c>
      <c r="AT11" s="67" t="s">
        <v>1</v>
      </c>
      <c r="AU11" s="67"/>
      <c r="AV11" s="67"/>
      <c r="AW11" s="195"/>
      <c r="AX11" s="67"/>
      <c r="AY11" s="38"/>
      <c r="AZ11" s="38"/>
      <c r="BA11" s="38"/>
      <c r="BB11" s="38"/>
      <c r="BC11" s="67"/>
      <c r="BD11" s="38"/>
      <c r="BE11" s="38"/>
      <c r="BF11" s="38"/>
      <c r="BG11" s="38"/>
      <c r="BH11" s="38"/>
      <c r="BI11" s="38"/>
      <c r="BJ11" s="38"/>
      <c r="BK11" s="73"/>
      <c r="BL11" s="79"/>
      <c r="BM11" s="67"/>
      <c r="BN11" s="67"/>
      <c r="BO11" s="67"/>
      <c r="BP11" s="67"/>
      <c r="BQ11" s="67"/>
      <c r="BR11" s="67"/>
      <c r="BS11" s="79"/>
      <c r="BT11" s="67"/>
      <c r="BU11" s="67"/>
    </row>
    <row r="12" spans="1:74" ht="15" customHeight="1" x14ac:dyDescent="0.2">
      <c r="A12" s="191"/>
      <c r="B12" s="83" t="s">
        <v>41</v>
      </c>
      <c r="C12" s="207">
        <v>30</v>
      </c>
      <c r="D12" s="83" t="s">
        <v>4</v>
      </c>
      <c r="E12" s="73" t="s">
        <v>142</v>
      </c>
      <c r="F12" s="85">
        <f>AO8</f>
        <v>-0.5</v>
      </c>
      <c r="G12" s="87">
        <f>AP8</f>
        <v>10</v>
      </c>
      <c r="H12" s="87" t="s">
        <v>4</v>
      </c>
      <c r="I12" s="87"/>
      <c r="J12" s="86"/>
      <c r="K12" s="67"/>
      <c r="L12" s="38"/>
      <c r="M12" s="212" t="s">
        <v>3</v>
      </c>
      <c r="N12" s="213">
        <f>AV23</f>
        <v>6</v>
      </c>
      <c r="O12" s="214" t="s">
        <v>95</v>
      </c>
      <c r="P12" s="215">
        <f>AS30</f>
        <v>7.7</v>
      </c>
      <c r="Q12" s="213" t="s">
        <v>151</v>
      </c>
      <c r="R12" s="215">
        <f>AU30</f>
        <v>1.75</v>
      </c>
      <c r="S12" s="213" t="s">
        <v>151</v>
      </c>
      <c r="T12" s="216">
        <f>F21</f>
        <v>9.1</v>
      </c>
      <c r="U12" s="217" t="s">
        <v>96</v>
      </c>
      <c r="V12" s="67"/>
      <c r="W12" s="112" t="s">
        <v>109</v>
      </c>
      <c r="X12" s="113">
        <f>IF(AQ3="Rectus",F6,J6)</f>
        <v>10</v>
      </c>
      <c r="Y12" s="114">
        <f>IF(X12&gt;90,X12-90,X12+90)</f>
        <v>100</v>
      </c>
      <c r="Z12" s="67"/>
      <c r="AA12" s="195"/>
      <c r="AB12" s="67"/>
      <c r="AC12" s="38"/>
      <c r="AD12" s="38"/>
      <c r="AE12" s="38"/>
      <c r="AF12" s="38"/>
      <c r="AG12" s="38"/>
      <c r="AH12" s="38"/>
      <c r="AI12" s="38"/>
      <c r="AJ12" s="67"/>
      <c r="AK12" s="67"/>
      <c r="AL12" s="195"/>
      <c r="AM12" s="73" t="s">
        <v>20</v>
      </c>
      <c r="AN12" s="67" t="s">
        <v>13</v>
      </c>
      <c r="AO12" s="408">
        <f>(C9+C11)/2</f>
        <v>7.6899999999999995</v>
      </c>
      <c r="AP12" s="67" t="s">
        <v>1</v>
      </c>
      <c r="AQ12" s="73" t="s">
        <v>12</v>
      </c>
      <c r="AR12" s="67" t="s">
        <v>13</v>
      </c>
      <c r="AS12" s="111">
        <f>IF(C9&gt;=C11,C9,C11)</f>
        <v>7.78</v>
      </c>
      <c r="AT12" s="116" t="s">
        <v>1</v>
      </c>
      <c r="AU12" s="38"/>
      <c r="AV12" s="38"/>
      <c r="AW12" s="191"/>
      <c r="AX12" s="107"/>
      <c r="AY12" s="38"/>
      <c r="AZ12" s="38"/>
      <c r="BA12" s="38"/>
      <c r="BB12" s="38"/>
      <c r="BC12" s="67"/>
      <c r="BD12" s="38"/>
      <c r="BE12" s="38"/>
      <c r="BF12" s="38"/>
      <c r="BG12" s="38"/>
      <c r="BH12" s="38"/>
      <c r="BI12" s="38"/>
      <c r="BJ12" s="38"/>
      <c r="BK12" s="73"/>
      <c r="BL12" s="67"/>
      <c r="BM12" s="67"/>
      <c r="BN12" s="67"/>
      <c r="BO12" s="67"/>
      <c r="BP12" s="67"/>
      <c r="BQ12" s="67"/>
      <c r="BR12" s="67"/>
      <c r="BS12" s="67"/>
      <c r="BT12" s="67"/>
      <c r="BU12" s="67"/>
    </row>
    <row r="13" spans="1:74" ht="15" customHeight="1" x14ac:dyDescent="0.2">
      <c r="A13" s="191"/>
      <c r="B13" s="83" t="s">
        <v>8</v>
      </c>
      <c r="C13" s="204">
        <v>7.94</v>
      </c>
      <c r="D13" s="83" t="s">
        <v>1</v>
      </c>
      <c r="E13" s="117" t="s">
        <v>143</v>
      </c>
      <c r="F13" s="85">
        <f>AS8</f>
        <v>0.58000000000000362</v>
      </c>
      <c r="G13" s="118">
        <f>AT8</f>
        <v>10</v>
      </c>
      <c r="H13" s="87" t="s">
        <v>4</v>
      </c>
      <c r="I13" s="87"/>
      <c r="J13" s="86"/>
      <c r="K13" s="67"/>
      <c r="L13" s="38"/>
      <c r="M13" s="119" t="s">
        <v>152</v>
      </c>
      <c r="N13" s="119"/>
      <c r="O13" s="120"/>
      <c r="P13" s="100"/>
      <c r="Q13" s="67"/>
      <c r="R13" s="100"/>
      <c r="S13" s="67"/>
      <c r="T13" s="67"/>
      <c r="U13" s="67"/>
      <c r="V13" s="67"/>
      <c r="W13" s="121" t="s">
        <v>97</v>
      </c>
      <c r="X13" s="122">
        <f>IF(AQ3="Rectus",F4*-1,J4*-1)</f>
        <v>-2</v>
      </c>
      <c r="Y13" s="123">
        <f>IF(AQ3="Rectus",(F4+F5)*-1,(J4+J5)*-1)</f>
        <v>-1.5</v>
      </c>
      <c r="Z13" s="67"/>
      <c r="AA13" s="195"/>
      <c r="AB13" s="67"/>
      <c r="AC13" s="38"/>
      <c r="AD13" s="38"/>
      <c r="AE13" s="38"/>
      <c r="AF13" s="38"/>
      <c r="AG13" s="38"/>
      <c r="AH13" s="38"/>
      <c r="AI13" s="38"/>
      <c r="AJ13" s="67"/>
      <c r="AK13" s="67"/>
      <c r="AL13" s="195"/>
      <c r="AM13" s="73" t="s">
        <v>21</v>
      </c>
      <c r="AN13" s="67" t="s">
        <v>13</v>
      </c>
      <c r="AO13" s="408">
        <f>SUM(C13:C16)/4</f>
        <v>8.0425000000000004</v>
      </c>
      <c r="AP13" s="67" t="s">
        <v>1</v>
      </c>
      <c r="AQ13" s="73" t="s">
        <v>14</v>
      </c>
      <c r="AR13" s="67" t="s">
        <v>13</v>
      </c>
      <c r="AS13" s="407">
        <f>IF(C9&gt;=C11,(C13+C14)/2+AS14,(C15+C16)/2+AS14)</f>
        <v>8.0400000000000009</v>
      </c>
      <c r="AT13" s="116" t="s">
        <v>1</v>
      </c>
      <c r="AU13" s="38"/>
      <c r="AV13" s="38"/>
      <c r="AW13" s="191"/>
      <c r="AX13" s="67"/>
      <c r="AY13" s="38"/>
      <c r="AZ13" s="38"/>
      <c r="BA13" s="38"/>
      <c r="BB13" s="38"/>
      <c r="BC13" s="67"/>
      <c r="BD13" s="38"/>
      <c r="BE13" s="38"/>
      <c r="BF13" s="38"/>
      <c r="BG13" s="38"/>
      <c r="BH13" s="38"/>
      <c r="BI13" s="38"/>
      <c r="BJ13" s="38"/>
      <c r="BK13" s="73"/>
      <c r="BL13" s="67"/>
      <c r="BM13" s="110"/>
      <c r="BN13" s="67"/>
      <c r="BO13" s="67"/>
      <c r="BP13" s="67"/>
      <c r="BQ13" s="67"/>
      <c r="BR13" s="67"/>
      <c r="BS13" s="73"/>
      <c r="BT13" s="93"/>
      <c r="BU13" s="67"/>
    </row>
    <row r="14" spans="1:74" ht="15" customHeight="1" x14ac:dyDescent="0.2">
      <c r="A14" s="191"/>
      <c r="B14" s="83" t="s">
        <v>9</v>
      </c>
      <c r="C14" s="204">
        <v>7.78</v>
      </c>
      <c r="D14" s="83" t="s">
        <v>1</v>
      </c>
      <c r="E14" s="105" t="s">
        <v>144</v>
      </c>
      <c r="F14" s="87" t="str">
        <f>AT9</f>
        <v>sph. wirksame Weichlinse</v>
      </c>
      <c r="G14" s="87"/>
      <c r="H14" s="87"/>
      <c r="I14" s="87"/>
      <c r="J14" s="38"/>
      <c r="K14" s="107" t="str">
        <f>IF(AT9="RT-rücktorische HL",IF(F13=F11/3,"(RT-Vollkorrektion)","(BTX)"),IF(AT9="torische Weichlinse",IF(ABS(C5)&lt;3,"(Standard)","(individuell)"),""))</f>
        <v/>
      </c>
      <c r="L14" s="38"/>
      <c r="M14" s="218" t="s">
        <v>3</v>
      </c>
      <c r="N14" s="219">
        <f>AO31</f>
        <v>7</v>
      </c>
      <c r="O14" s="220" t="s">
        <v>95</v>
      </c>
      <c r="P14" s="221">
        <f>AS31</f>
        <v>7.65</v>
      </c>
      <c r="Q14" s="219" t="s">
        <v>151</v>
      </c>
      <c r="R14" s="221">
        <f>AU31</f>
        <v>1.5</v>
      </c>
      <c r="S14" s="219" t="s">
        <v>151</v>
      </c>
      <c r="T14" s="222">
        <f>F21</f>
        <v>9.1</v>
      </c>
      <c r="U14" s="223" t="s">
        <v>96</v>
      </c>
      <c r="V14" s="67"/>
      <c r="W14" s="121" t="str">
        <f>"+S'TL"</f>
        <v>+S'TL</v>
      </c>
      <c r="X14" s="122">
        <f>(C9-AS30)*5</f>
        <v>0.40000000000000036</v>
      </c>
      <c r="Y14" s="125">
        <f>(C11-AS30)*5</f>
        <v>-0.50000000000000266</v>
      </c>
      <c r="Z14" s="67"/>
      <c r="AA14" s="191"/>
      <c r="AB14" s="38"/>
      <c r="AC14" s="38"/>
      <c r="AD14" s="38"/>
      <c r="AE14" s="38"/>
      <c r="AF14" s="38"/>
      <c r="AG14" s="67"/>
      <c r="AH14" s="67"/>
      <c r="AI14" s="67"/>
      <c r="AJ14" s="67"/>
      <c r="AK14" s="67"/>
      <c r="AL14" s="195"/>
      <c r="AM14" s="82" t="s">
        <v>146</v>
      </c>
      <c r="AN14" s="82"/>
      <c r="AO14" s="98">
        <f>RADIANS(C12)</f>
        <v>0.52359877559829882</v>
      </c>
      <c r="AP14" s="82"/>
      <c r="AQ14" s="73" t="s">
        <v>63</v>
      </c>
      <c r="AR14" s="67" t="s">
        <v>13</v>
      </c>
      <c r="AS14" s="111">
        <f>IF(C9&gt;=C11,C9-C11,C11-C9)</f>
        <v>0.1800000000000006</v>
      </c>
      <c r="AT14" s="116" t="s">
        <v>1</v>
      </c>
      <c r="AU14" s="38"/>
      <c r="AV14" s="38"/>
      <c r="AW14" s="191"/>
      <c r="AX14" s="67"/>
      <c r="AY14" s="38"/>
      <c r="AZ14" s="38"/>
      <c r="BA14" s="38"/>
      <c r="BB14" s="38"/>
      <c r="BC14" s="67"/>
      <c r="BD14" s="38"/>
      <c r="BE14" s="38"/>
      <c r="BF14" s="38"/>
      <c r="BG14" s="38"/>
      <c r="BH14" s="38"/>
      <c r="BI14" s="38"/>
      <c r="BJ14" s="38"/>
      <c r="BK14" s="73"/>
      <c r="BL14" s="67"/>
      <c r="BM14" s="89"/>
      <c r="BN14" s="67"/>
      <c r="BO14" s="67"/>
      <c r="BP14" s="67"/>
      <c r="BQ14" s="67"/>
      <c r="BR14" s="67"/>
      <c r="BS14" s="73"/>
      <c r="BT14" s="93"/>
      <c r="BU14" s="67"/>
    </row>
    <row r="15" spans="1:74" ht="15" customHeight="1" x14ac:dyDescent="0.3">
      <c r="A15" s="191"/>
      <c r="B15" s="83" t="s">
        <v>10</v>
      </c>
      <c r="C15" s="204">
        <v>8.2100000000000009</v>
      </c>
      <c r="D15" s="83" t="s">
        <v>1</v>
      </c>
      <c r="E15" s="97" t="s">
        <v>167</v>
      </c>
      <c r="F15" s="126">
        <f>AS15</f>
        <v>0.58599999999999997</v>
      </c>
      <c r="G15" s="127" t="s">
        <v>47</v>
      </c>
      <c r="H15" s="87" t="str">
        <f>AR19</f>
        <v>normale HH-Abflachung</v>
      </c>
      <c r="I15" s="87"/>
      <c r="J15" s="86"/>
      <c r="K15" s="83"/>
      <c r="L15" s="38"/>
      <c r="M15" s="67"/>
      <c r="N15" s="67"/>
      <c r="O15" s="73"/>
      <c r="P15" s="100"/>
      <c r="Q15" s="67"/>
      <c r="R15" s="100"/>
      <c r="S15" s="67"/>
      <c r="T15" s="67"/>
      <c r="U15" s="67"/>
      <c r="V15" s="67"/>
      <c r="W15" s="121" t="str">
        <f>"+S'KL"</f>
        <v>+S'KL</v>
      </c>
      <c r="X15" s="128">
        <f>(X13+X14)*-1</f>
        <v>1.5999999999999996</v>
      </c>
      <c r="Y15" s="129">
        <f>(Y13+Y14)*-1</f>
        <v>2.0000000000000027</v>
      </c>
      <c r="Z15" s="38"/>
      <c r="AA15" s="191"/>
      <c r="AB15" s="38"/>
      <c r="AC15" s="67"/>
      <c r="AD15" s="67"/>
      <c r="AE15" s="67"/>
      <c r="AF15" s="67"/>
      <c r="AG15" s="67"/>
      <c r="AH15" s="67"/>
      <c r="AI15" s="67"/>
      <c r="AJ15" s="67"/>
      <c r="AK15" s="67"/>
      <c r="AL15" s="195"/>
      <c r="AM15" s="108" t="s">
        <v>29</v>
      </c>
      <c r="AN15" s="130">
        <f>C12</f>
        <v>30</v>
      </c>
      <c r="AO15" s="131">
        <f>IF(AO12&lt;AO13,1/SIN(AO14)*SQRT(1-(AO12*AO12)/(AO13*AO13)),1/SIN(AO14)*SQRT((AO12*AO12)/(AO13*AO13)-1)*(-1))</f>
        <v>0.58562196428184177</v>
      </c>
      <c r="AP15" s="38"/>
      <c r="AQ15" s="108" t="s">
        <v>148</v>
      </c>
      <c r="AR15" s="38" t="s">
        <v>13</v>
      </c>
      <c r="AS15" s="132">
        <f>IF(AN15&lt;30,ROUND(AO15+0.1,3),ROUND(AO15,3))</f>
        <v>0.58599999999999997</v>
      </c>
      <c r="AT15" s="38"/>
      <c r="AU15" s="38"/>
      <c r="AV15" s="38"/>
      <c r="AW15" s="191"/>
      <c r="AX15" s="38"/>
      <c r="AY15" s="38"/>
      <c r="AZ15" s="38"/>
      <c r="BA15" s="38"/>
      <c r="BB15" s="38"/>
      <c r="BC15" s="67"/>
      <c r="BD15" s="38"/>
      <c r="BE15" s="38"/>
      <c r="BF15" s="38"/>
      <c r="BG15" s="38"/>
      <c r="BH15" s="38"/>
      <c r="BI15" s="38"/>
      <c r="BJ15" s="38"/>
      <c r="BK15" s="73"/>
      <c r="BL15" s="67"/>
      <c r="BM15" s="67"/>
      <c r="BN15" s="67"/>
      <c r="BO15" s="67"/>
      <c r="BP15" s="67"/>
      <c r="BQ15" s="67"/>
      <c r="BR15" s="67"/>
      <c r="BS15" s="73"/>
      <c r="BT15" s="93"/>
      <c r="BU15" s="67"/>
    </row>
    <row r="16" spans="1:74" ht="15" customHeight="1" thickBot="1" x14ac:dyDescent="0.35">
      <c r="A16" s="191"/>
      <c r="B16" s="83" t="s">
        <v>11</v>
      </c>
      <c r="C16" s="208">
        <v>8.24</v>
      </c>
      <c r="D16" s="83" t="s">
        <v>1</v>
      </c>
      <c r="E16" s="97" t="s">
        <v>168</v>
      </c>
      <c r="F16" s="126">
        <f>AS16</f>
        <v>0.505</v>
      </c>
      <c r="G16" s="127" t="s">
        <v>47</v>
      </c>
      <c r="H16" s="87" t="str">
        <f>AP29</f>
        <v>Gleichlauf</v>
      </c>
      <c r="I16" s="87"/>
      <c r="J16" s="86"/>
      <c r="K16" s="83"/>
      <c r="L16" s="38"/>
      <c r="M16" s="78" t="s">
        <v>156</v>
      </c>
      <c r="N16" s="38"/>
      <c r="O16" s="38"/>
      <c r="P16" s="133"/>
      <c r="Q16" s="38"/>
      <c r="R16" s="133"/>
      <c r="S16" s="38"/>
      <c r="T16" s="38"/>
      <c r="U16" s="38"/>
      <c r="V16" s="38"/>
      <c r="W16" s="134" t="str">
        <f>"=GRD"</f>
        <v>=GRD</v>
      </c>
      <c r="X16" s="135">
        <v>0</v>
      </c>
      <c r="Y16" s="136">
        <v>0</v>
      </c>
      <c r="Z16" s="38"/>
      <c r="AA16" s="195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195"/>
      <c r="AM16" s="108" t="s">
        <v>30</v>
      </c>
      <c r="AN16" s="130">
        <f>C12</f>
        <v>30</v>
      </c>
      <c r="AO16" s="131">
        <f>ROUND(IF(AS12&lt;AS13,1/SIN(AO14)*SQRT(1-(AS12*AS12)/(AS13*AS13)),1/SIN(AO14)*SQRT((AS12*AS12)/(AS13*AS13)-1)*(-1)),3)</f>
        <v>0.505</v>
      </c>
      <c r="AP16" s="38"/>
      <c r="AQ16" s="108" t="s">
        <v>147</v>
      </c>
      <c r="AR16" s="38" t="s">
        <v>13</v>
      </c>
      <c r="AS16" s="132">
        <f>IF(AN16&lt;30,ROUND(AO16+0.1,3),ROUND(AO16,3))</f>
        <v>0.505</v>
      </c>
      <c r="AT16" s="38"/>
      <c r="AU16" s="38"/>
      <c r="AV16" s="38"/>
      <c r="AW16" s="191"/>
      <c r="AX16" s="38"/>
      <c r="AY16" s="67"/>
      <c r="AZ16" s="67"/>
      <c r="BA16" s="67"/>
      <c r="BB16" s="67"/>
      <c r="BC16" s="67"/>
      <c r="BD16" s="38"/>
      <c r="BE16" s="38"/>
      <c r="BF16" s="38"/>
      <c r="BG16" s="38"/>
      <c r="BH16" s="38"/>
      <c r="BI16" s="38"/>
      <c r="BJ16" s="38"/>
      <c r="BK16" s="73"/>
      <c r="BL16" s="67"/>
      <c r="BM16" s="67"/>
      <c r="BN16" s="67"/>
      <c r="BO16" s="67"/>
      <c r="BP16" s="67"/>
      <c r="BQ16" s="137"/>
      <c r="BR16" s="67"/>
      <c r="BS16" s="73"/>
      <c r="BT16" s="93"/>
      <c r="BU16" s="67"/>
    </row>
    <row r="17" spans="1:73" ht="14.1" customHeight="1" x14ac:dyDescent="0.2">
      <c r="A17" s="191"/>
      <c r="B17" s="83"/>
      <c r="C17" s="38"/>
      <c r="D17" s="83"/>
      <c r="E17" s="97"/>
      <c r="F17" s="126"/>
      <c r="G17" s="127"/>
      <c r="H17" s="87"/>
      <c r="I17" s="87"/>
      <c r="J17" s="86"/>
      <c r="K17" s="83"/>
      <c r="L17" s="38"/>
      <c r="M17" s="224" t="str">
        <f>IF(ABS(C9-C11)&gt;=0.45,"RT AZ","")</f>
        <v/>
      </c>
      <c r="N17" s="225" t="str">
        <f>IF(ABS(C9-C11)&gt;=0.45,N12,"")</f>
        <v/>
      </c>
      <c r="O17" s="226" t="str">
        <f>IF(ABS(C9-C11)&gt;=0.45,"(","")</f>
        <v/>
      </c>
      <c r="P17" s="227" t="str">
        <f>IF(ABS(C9-C11)&gt;=0.45,MROUND(AT24,0.05),"")</f>
        <v/>
      </c>
      <c r="Q17" s="225"/>
      <c r="R17" s="228" t="str">
        <f>IF(ABS(C9-C11)&gt;=0.45,MROUND(P17-ABS(C9-C11)*0.8,0.05),"")</f>
        <v/>
      </c>
      <c r="S17" s="225" t="str">
        <f>IF(ABS(C9-C11)&gt;=0.45,"/","")</f>
        <v/>
      </c>
      <c r="T17" s="239" t="str">
        <f>IF(P17="","",X19)</f>
        <v/>
      </c>
      <c r="U17" s="229" t="str">
        <f>IF(ABS(C9-C11)&gt;=0.45,")","")</f>
        <v/>
      </c>
      <c r="V17" s="38"/>
      <c r="W17" s="38"/>
      <c r="X17" s="38"/>
      <c r="Y17" s="38"/>
      <c r="Z17" s="67"/>
      <c r="AA17" s="195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195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191"/>
      <c r="AX17" s="69"/>
      <c r="AY17" s="67"/>
      <c r="AZ17" s="67"/>
      <c r="BA17" s="67"/>
      <c r="BB17" s="67"/>
      <c r="BC17" s="67"/>
      <c r="BD17" s="38"/>
      <c r="BE17" s="38"/>
      <c r="BF17" s="38"/>
      <c r="BG17" s="38"/>
      <c r="BH17" s="38"/>
      <c r="BI17" s="38"/>
      <c r="BJ17" s="38"/>
      <c r="BK17" s="73"/>
      <c r="BL17" s="67"/>
      <c r="BM17" s="67"/>
      <c r="BN17" s="67"/>
      <c r="BO17" s="67"/>
      <c r="BP17" s="67"/>
      <c r="BQ17" s="137"/>
      <c r="BR17" s="67"/>
      <c r="BS17" s="73"/>
      <c r="BT17" s="93"/>
      <c r="BU17" s="67"/>
    </row>
    <row r="18" spans="1:73" ht="14.1" customHeight="1" x14ac:dyDescent="0.2">
      <c r="A18" s="191"/>
      <c r="B18" s="74" t="s">
        <v>136</v>
      </c>
      <c r="C18" s="69"/>
      <c r="D18" s="83"/>
      <c r="E18" s="105"/>
      <c r="F18" s="87"/>
      <c r="G18" s="87"/>
      <c r="H18" s="87"/>
      <c r="I18" s="87"/>
      <c r="J18" s="86"/>
      <c r="K18" s="83"/>
      <c r="L18" s="38"/>
      <c r="M18" s="138" t="s">
        <v>157</v>
      </c>
      <c r="N18" s="67"/>
      <c r="O18" s="73"/>
      <c r="P18" s="73"/>
      <c r="Q18" s="67"/>
      <c r="R18" s="67"/>
      <c r="S18" s="67"/>
      <c r="T18" s="67"/>
      <c r="U18" s="67"/>
      <c r="V18" s="67"/>
      <c r="W18" s="234" t="s">
        <v>48</v>
      </c>
      <c r="X18" s="235">
        <f>(X15+Y15)/2</f>
        <v>1.8000000000000012</v>
      </c>
      <c r="Y18" s="236" t="s">
        <v>37</v>
      </c>
      <c r="Z18" s="67"/>
      <c r="AA18" s="195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195"/>
      <c r="AM18" s="93" t="s">
        <v>162</v>
      </c>
      <c r="AN18" s="67"/>
      <c r="AO18" s="67"/>
      <c r="AP18" s="67"/>
      <c r="AQ18" s="67"/>
      <c r="AR18" s="89"/>
      <c r="AS18" s="67"/>
      <c r="AT18" s="67"/>
      <c r="AU18" s="67"/>
      <c r="AV18" s="67"/>
      <c r="AW18" s="195"/>
      <c r="AX18" s="139" t="s">
        <v>2</v>
      </c>
      <c r="AY18" s="38"/>
      <c r="AZ18" s="38"/>
      <c r="BA18" s="38"/>
      <c r="BB18" s="38"/>
      <c r="BC18" s="67"/>
      <c r="BD18" s="38"/>
      <c r="BE18" s="38"/>
      <c r="BF18" s="38"/>
      <c r="BG18" s="38"/>
      <c r="BH18" s="38"/>
      <c r="BI18" s="38"/>
      <c r="BJ18" s="38"/>
      <c r="BK18" s="73"/>
      <c r="BL18" s="67"/>
      <c r="BM18" s="67"/>
      <c r="BN18" s="67"/>
      <c r="BO18" s="67"/>
      <c r="BP18" s="67"/>
      <c r="BQ18" s="67"/>
      <c r="BR18" s="67"/>
      <c r="BS18" s="67"/>
      <c r="BT18" s="67"/>
      <c r="BU18" s="67"/>
    </row>
    <row r="19" spans="1:73" ht="15" customHeight="1" x14ac:dyDescent="0.3">
      <c r="A19" s="191"/>
      <c r="B19" s="83" t="s">
        <v>38</v>
      </c>
      <c r="C19" s="209">
        <v>10.4</v>
      </c>
      <c r="D19" s="83" t="s">
        <v>1</v>
      </c>
      <c r="E19" s="105" t="s">
        <v>145</v>
      </c>
      <c r="F19" s="106" t="str">
        <f>AR25</f>
        <v>normale</v>
      </c>
      <c r="G19" s="87" t="str">
        <f>AS25</f>
        <v>Lidspaltenhöhe</v>
      </c>
      <c r="H19" s="87"/>
      <c r="I19" s="87"/>
      <c r="J19" s="86"/>
      <c r="K19" s="67"/>
      <c r="L19" s="38"/>
      <c r="M19" s="67"/>
      <c r="N19" s="67"/>
      <c r="O19" s="73"/>
      <c r="P19" s="73"/>
      <c r="Q19" s="67"/>
      <c r="R19" s="67"/>
      <c r="S19" s="67"/>
      <c r="T19" s="67"/>
      <c r="U19" s="67"/>
      <c r="V19" s="67"/>
      <c r="W19" s="98" t="s">
        <v>184</v>
      </c>
      <c r="X19" s="238" t="str">
        <f>IF(P17="","",X13*(-1)-(C9-P17)*5)</f>
        <v/>
      </c>
      <c r="Y19" s="236" t="s">
        <v>37</v>
      </c>
      <c r="Z19" s="67"/>
      <c r="AA19" s="195"/>
      <c r="AB19" s="67"/>
      <c r="AC19" s="38"/>
      <c r="AD19" s="38"/>
      <c r="AE19" s="38"/>
      <c r="AF19" s="38"/>
      <c r="AG19" s="38"/>
      <c r="AH19" s="38"/>
      <c r="AI19" s="38"/>
      <c r="AJ19" s="38"/>
      <c r="AK19" s="38"/>
      <c r="AL19" s="191"/>
      <c r="AM19" s="108" t="s">
        <v>148</v>
      </c>
      <c r="AN19" s="67" t="s">
        <v>13</v>
      </c>
      <c r="AO19" s="495">
        <f>AS15</f>
        <v>0.58599999999999997</v>
      </c>
      <c r="AP19" s="140" t="s">
        <v>47</v>
      </c>
      <c r="AQ19" s="67"/>
      <c r="AR19" s="89" t="str">
        <f>IF(AS15&lt;0.3,IF(AS15&lt;0,"versteilende Hornhaut","geringe HH-Abflachung"),IF(AS15&gt;0.7,"starke Abflachung /Keratokonus?","normale HH-Abflachung"))</f>
        <v>normale HH-Abflachung</v>
      </c>
      <c r="AS19" s="67"/>
      <c r="AT19" s="67"/>
      <c r="AU19" s="67"/>
      <c r="AV19" s="67"/>
      <c r="AW19" s="191"/>
      <c r="AX19" s="69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73"/>
      <c r="BL19" s="67"/>
      <c r="BM19" s="67"/>
      <c r="BN19" s="67"/>
      <c r="BO19" s="93"/>
      <c r="BP19" s="141"/>
      <c r="BQ19" s="142"/>
      <c r="BR19" s="67"/>
      <c r="BS19" s="73"/>
      <c r="BT19" s="143"/>
      <c r="BU19" s="67"/>
    </row>
    <row r="20" spans="1:73" ht="15.75" customHeight="1" x14ac:dyDescent="0.3">
      <c r="A20" s="191"/>
      <c r="B20" s="83" t="s">
        <v>133</v>
      </c>
      <c r="C20" s="210">
        <v>11.7</v>
      </c>
      <c r="D20" s="83" t="s">
        <v>1</v>
      </c>
      <c r="E20" s="84" t="s">
        <v>169</v>
      </c>
      <c r="F20" s="144">
        <f>AO26</f>
        <v>13.7</v>
      </c>
      <c r="G20" s="86" t="s">
        <v>1</v>
      </c>
      <c r="H20" s="87"/>
      <c r="I20" s="87"/>
      <c r="J20" s="87"/>
      <c r="K20" s="38"/>
      <c r="L20" s="38"/>
      <c r="M20" s="78" t="s">
        <v>154</v>
      </c>
      <c r="N20" s="67"/>
      <c r="O20" s="38"/>
      <c r="P20" s="73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196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191"/>
      <c r="AM20" s="108" t="s">
        <v>28</v>
      </c>
      <c r="AN20" s="67" t="s">
        <v>13</v>
      </c>
      <c r="AO20" s="100">
        <f>IF(AS15&gt;=0.3,((INT(AS15*10))+1)/10,IF(AS15&lt;(-0.299),(INT(AS15*10)+1)/10,0))</f>
        <v>0.6</v>
      </c>
      <c r="AP20" s="140" t="s">
        <v>47</v>
      </c>
      <c r="AQ20" s="67"/>
      <c r="AR20" s="89" t="s">
        <v>35</v>
      </c>
      <c r="AS20" s="67"/>
      <c r="AT20" s="89" t="str">
        <f>IF(AS15&lt;0.3,IF(AS15&lt;(-0.299),"oblonge Geometrie","sphärische Geometrie"),"asphärische Geometrie")</f>
        <v>asphärische Geometrie</v>
      </c>
      <c r="AU20" s="67"/>
      <c r="AV20" s="67"/>
      <c r="AW20" s="195"/>
      <c r="AX20" s="139" t="s">
        <v>2</v>
      </c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73"/>
      <c r="BL20" s="67"/>
      <c r="BM20" s="67"/>
      <c r="BN20" s="67"/>
      <c r="BO20" s="67"/>
      <c r="BP20" s="67"/>
      <c r="BQ20" s="67"/>
      <c r="BR20" s="67"/>
      <c r="BS20" s="67"/>
      <c r="BT20" s="67"/>
      <c r="BU20" s="67"/>
    </row>
    <row r="21" spans="1:73" ht="13.5" customHeight="1" x14ac:dyDescent="0.2">
      <c r="A21" s="191"/>
      <c r="B21" s="83" t="s">
        <v>134</v>
      </c>
      <c r="C21" s="211">
        <v>10.6</v>
      </c>
      <c r="D21" s="83" t="s">
        <v>1</v>
      </c>
      <c r="E21" s="73" t="s">
        <v>181</v>
      </c>
      <c r="F21" s="144">
        <f>AO27</f>
        <v>9.1</v>
      </c>
      <c r="G21" s="86" t="s">
        <v>1</v>
      </c>
      <c r="H21" s="87"/>
      <c r="I21" s="87"/>
      <c r="J21" s="87"/>
      <c r="K21" s="38"/>
      <c r="L21" s="38"/>
      <c r="M21" s="230" t="str">
        <f>AM33</f>
        <v>sph. Weichlinse</v>
      </c>
      <c r="N21" s="213"/>
      <c r="O21" s="214"/>
      <c r="P21" s="214"/>
      <c r="Q21" s="213" t="s">
        <v>159</v>
      </c>
      <c r="R21" s="216">
        <f>AO33</f>
        <v>8.49</v>
      </c>
      <c r="S21" s="213" t="s">
        <v>151</v>
      </c>
      <c r="T21" s="231">
        <f>AQ33</f>
        <v>1.75</v>
      </c>
      <c r="U21" s="213"/>
      <c r="V21" s="231" t="str">
        <f>AR33</f>
        <v/>
      </c>
      <c r="W21" s="232" t="str">
        <f>AS33</f>
        <v/>
      </c>
      <c r="X21" s="213" t="s">
        <v>155</v>
      </c>
      <c r="Y21" s="233">
        <f>AU33</f>
        <v>13.7</v>
      </c>
      <c r="Z21" s="217" t="s">
        <v>96</v>
      </c>
      <c r="AA21" s="191"/>
      <c r="AB21" s="38"/>
      <c r="AC21" s="67"/>
      <c r="AD21" s="67"/>
      <c r="AE21" s="67"/>
      <c r="AF21" s="67"/>
      <c r="AG21" s="67"/>
      <c r="AH21" s="67"/>
      <c r="AI21" s="67"/>
      <c r="AJ21" s="67"/>
      <c r="AK21" s="67"/>
      <c r="AL21" s="195"/>
      <c r="AM21" s="93"/>
      <c r="AN21" s="67"/>
      <c r="AO21" s="67"/>
      <c r="AP21" s="67"/>
      <c r="AQ21" s="67"/>
      <c r="AR21" s="67"/>
      <c r="AS21" s="67"/>
      <c r="AT21" s="67"/>
      <c r="AU21" s="67"/>
      <c r="AV21" s="67"/>
      <c r="AW21" s="195"/>
      <c r="AX21" s="139" t="s">
        <v>2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73"/>
      <c r="BL21" s="67"/>
      <c r="BM21" s="67"/>
      <c r="BN21" s="67"/>
      <c r="BO21" s="67"/>
      <c r="BP21" s="67"/>
      <c r="BQ21" s="67"/>
      <c r="BR21" s="67"/>
      <c r="BS21" s="67"/>
      <c r="BT21" s="67"/>
      <c r="BU21" s="67"/>
    </row>
    <row r="22" spans="1:73" ht="12.75" customHeight="1" x14ac:dyDescent="0.2">
      <c r="A22" s="191"/>
      <c r="B22" s="87" t="s">
        <v>230</v>
      </c>
      <c r="C22" s="497">
        <v>2</v>
      </c>
      <c r="D22" s="87" t="s">
        <v>228</v>
      </c>
      <c r="E22" s="87"/>
      <c r="F22" s="87"/>
      <c r="G22" s="87"/>
      <c r="H22" s="87"/>
      <c r="I22" s="87"/>
      <c r="J22" s="87"/>
      <c r="K22" s="87"/>
      <c r="L22" s="87"/>
      <c r="M22" s="87" t="s">
        <v>229</v>
      </c>
      <c r="N22" s="87"/>
      <c r="O22" s="87"/>
      <c r="P22" s="87"/>
      <c r="Q22" s="144">
        <f>IF(C22=1,1,IF(C22=3,0.6,IF(C22=2,0.8,1)))</f>
        <v>0.8</v>
      </c>
      <c r="R22" s="87" t="s">
        <v>1</v>
      </c>
      <c r="S22" s="87"/>
      <c r="T22" s="87"/>
      <c r="U22" s="87"/>
      <c r="V22" s="87"/>
      <c r="W22" s="87"/>
      <c r="X22" s="87"/>
      <c r="Y22" s="87"/>
      <c r="Z22" s="87"/>
      <c r="AA22" s="191"/>
      <c r="AB22" s="38"/>
      <c r="AC22" s="67"/>
      <c r="AD22" s="67"/>
      <c r="AE22" s="67"/>
      <c r="AF22" s="67"/>
      <c r="AG22" s="67"/>
      <c r="AH22" s="67"/>
      <c r="AI22" s="67"/>
      <c r="AJ22" s="67"/>
      <c r="AK22" s="67"/>
      <c r="AL22" s="195"/>
      <c r="AM22" s="93" t="s">
        <v>163</v>
      </c>
      <c r="AN22" s="67"/>
      <c r="AO22" s="67"/>
      <c r="AP22" s="67"/>
      <c r="AQ22" s="67"/>
      <c r="AR22" s="67"/>
      <c r="AS22" s="67"/>
      <c r="AT22" s="67"/>
      <c r="AU22" s="67"/>
      <c r="AV22" s="67"/>
      <c r="AW22" s="195"/>
      <c r="AX22" s="69" t="s">
        <v>2</v>
      </c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73"/>
      <c r="BL22" s="67"/>
      <c r="BM22" s="93"/>
      <c r="BN22" s="67"/>
      <c r="BO22" s="67"/>
      <c r="BP22" s="67"/>
      <c r="BQ22" s="145"/>
      <c r="BR22" s="73"/>
      <c r="BS22" s="67"/>
      <c r="BT22" s="67"/>
      <c r="BU22" s="67"/>
    </row>
    <row r="23" spans="1:73" ht="15" customHeight="1" x14ac:dyDescent="0.3">
      <c r="A23" s="191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195"/>
      <c r="AM23" s="108" t="s">
        <v>149</v>
      </c>
      <c r="AN23" s="67" t="s">
        <v>13</v>
      </c>
      <c r="AO23" s="495">
        <f>AS16</f>
        <v>0.505</v>
      </c>
      <c r="AP23" s="67"/>
      <c r="AQ23" s="67"/>
      <c r="AR23" s="108" t="s">
        <v>28</v>
      </c>
      <c r="AS23" s="67" t="s">
        <v>13</v>
      </c>
      <c r="AT23" s="89">
        <f>AO20</f>
        <v>0.6</v>
      </c>
      <c r="AU23" s="73" t="s">
        <v>160</v>
      </c>
      <c r="AV23" s="146">
        <f>IF(AT23=0,0,AT23*10)</f>
        <v>6</v>
      </c>
      <c r="AW23" s="195"/>
      <c r="AX23" s="69" t="s">
        <v>2</v>
      </c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73"/>
      <c r="BL23" s="67"/>
      <c r="BM23" s="67"/>
      <c r="BN23" s="67"/>
      <c r="BO23" s="67"/>
      <c r="BP23" s="67"/>
      <c r="BQ23" s="67"/>
      <c r="BR23" s="73"/>
      <c r="BS23" s="67"/>
      <c r="BT23" s="67"/>
      <c r="BU23" s="67"/>
    </row>
    <row r="24" spans="1:73" ht="15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95"/>
      <c r="AM24" s="38"/>
      <c r="AN24" s="119"/>
      <c r="AO24" s="38" t="s">
        <v>2</v>
      </c>
      <c r="AP24" s="38"/>
      <c r="AQ24" s="67"/>
      <c r="AR24" s="108" t="str">
        <f>IF(AT23&lt;&gt;0,"ro (Gleichlauf)","ro (Parallel)")</f>
        <v>ro (Gleichlauf)</v>
      </c>
      <c r="AS24" s="67" t="s">
        <v>13</v>
      </c>
      <c r="AT24" s="147">
        <f>IF(AT20="asphärische Geometrie",AS12-(AO20-AS16)*0.7,IF(AT20="oblonge Geometrie",AS12-(AO20-AS16)*0.7,AS12))</f>
        <v>7.7135000000000007</v>
      </c>
      <c r="AU24" s="119" t="s">
        <v>1</v>
      </c>
      <c r="AV24" s="237">
        <f>MROUND(AT24,0.05)</f>
        <v>7.7</v>
      </c>
      <c r="AW24" s="195"/>
      <c r="AX24" s="69" t="s">
        <v>2</v>
      </c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73"/>
      <c r="BL24" s="67"/>
      <c r="BM24" s="67"/>
      <c r="BN24" s="67"/>
      <c r="BO24" s="67"/>
      <c r="BP24" s="67"/>
      <c r="BQ24" s="145"/>
      <c r="BR24" s="73"/>
      <c r="BS24" s="67"/>
      <c r="BT24" s="67"/>
      <c r="BU24" s="67"/>
    </row>
    <row r="25" spans="1:73" ht="15" customHeight="1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195"/>
      <c r="AM25" s="93" t="s">
        <v>164</v>
      </c>
      <c r="AN25" s="67"/>
      <c r="AO25" s="148"/>
      <c r="AP25" s="67"/>
      <c r="AQ25" s="67"/>
      <c r="AR25" s="73" t="str">
        <f>IF(C19&lt;9,"kleine",IF(C19&gt;11,"große","normale"))</f>
        <v>normale</v>
      </c>
      <c r="AS25" s="67" t="s">
        <v>66</v>
      </c>
      <c r="AT25" s="38"/>
      <c r="AU25" s="67"/>
      <c r="AV25" s="67"/>
      <c r="AW25" s="195"/>
      <c r="AX25" s="69" t="s">
        <v>2</v>
      </c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73"/>
      <c r="BL25" s="67"/>
      <c r="BM25" s="67"/>
      <c r="BN25" s="67"/>
      <c r="BO25" s="67"/>
      <c r="BP25" s="67"/>
      <c r="BQ25" s="67"/>
      <c r="BR25" s="67"/>
      <c r="BS25" s="67"/>
      <c r="BT25" s="67"/>
      <c r="BU25" s="67"/>
    </row>
    <row r="26" spans="1:73" ht="15" customHeight="1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91"/>
      <c r="AM26" s="73" t="s">
        <v>64</v>
      </c>
      <c r="AN26" s="67" t="s">
        <v>13</v>
      </c>
      <c r="AO26" s="137">
        <f>IF(C19&gt;11,C20+2.5,IF(C19&lt;9,C20+1.5,C20+2))</f>
        <v>13.7</v>
      </c>
      <c r="AP26" s="67" t="s">
        <v>1</v>
      </c>
      <c r="AQ26" s="38"/>
      <c r="AR26" s="38"/>
      <c r="AS26" s="38"/>
      <c r="AT26" s="38"/>
      <c r="AU26" s="38"/>
      <c r="AV26" s="38"/>
      <c r="AW26" s="191"/>
      <c r="AX26" s="69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73"/>
      <c r="BL26" s="67"/>
      <c r="BM26" s="67"/>
      <c r="BN26" s="67"/>
      <c r="BO26" s="67"/>
      <c r="BP26" s="67"/>
      <c r="BQ26" s="145"/>
      <c r="BR26" s="38"/>
      <c r="BS26" s="73"/>
      <c r="BT26" s="108"/>
      <c r="BU26" s="67"/>
    </row>
    <row r="27" spans="1:73" ht="15" customHeight="1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195"/>
      <c r="AM27" s="73" t="s">
        <v>65</v>
      </c>
      <c r="AN27" s="67" t="s">
        <v>13</v>
      </c>
      <c r="AO27" s="137">
        <f>IF(C19&gt;11,C21-1,IF(C19&lt;9,C21-2,C21-1.5))</f>
        <v>9.1</v>
      </c>
      <c r="AP27" s="67" t="s">
        <v>1</v>
      </c>
      <c r="AQ27" s="38"/>
      <c r="AR27" s="38"/>
      <c r="AS27" s="38"/>
      <c r="AT27" s="38"/>
      <c r="AU27" s="38"/>
      <c r="AV27" s="38"/>
      <c r="AW27" s="191"/>
      <c r="AX27" s="69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73"/>
      <c r="BL27" s="67"/>
      <c r="BM27" s="67"/>
      <c r="BN27" s="67"/>
      <c r="BO27" s="67"/>
      <c r="BP27" s="67"/>
      <c r="BQ27" s="67"/>
      <c r="BR27" s="67"/>
      <c r="BS27" s="73"/>
      <c r="BT27" s="108"/>
      <c r="BU27" s="67"/>
    </row>
    <row r="28" spans="1:73" ht="15" customHeigh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195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191"/>
      <c r="AX28" s="69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73"/>
      <c r="BL28" s="67"/>
      <c r="BM28" s="67"/>
      <c r="BN28" s="67"/>
      <c r="BO28" s="67"/>
      <c r="BP28" s="67"/>
      <c r="BQ28" s="67"/>
      <c r="BR28" s="145"/>
      <c r="BS28" s="73"/>
      <c r="BT28" s="93"/>
      <c r="BU28" s="67"/>
    </row>
    <row r="29" spans="1:73" ht="15" customHeight="1" thickBo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191"/>
      <c r="AM29" s="93" t="s">
        <v>36</v>
      </c>
      <c r="AN29" s="67"/>
      <c r="AO29" s="67"/>
      <c r="AP29" s="149" t="str">
        <f>IF(AS14&gt;0.3,IF(AS14&gt;0.4,"Steilanpassung  (RS-Linse)","Tendenz steil (RS-Linse)"),IF(AS14&lt;0.1,"Tendenz flach für RS-Linse",IF(AT23=0,"Parallelanpassung","Gleichlauf")))</f>
        <v>Gleichlauf</v>
      </c>
      <c r="AQ29" s="67"/>
      <c r="AR29" s="89" t="s">
        <v>39</v>
      </c>
      <c r="AS29" s="89"/>
      <c r="AT29" s="150">
        <f>IF(AS14&gt;0.3,IF(AS14&gt;0.4,IF(AS14&gt;0.5,-0.15,-0.1),-0.05),IF(AS14&lt;0.1,0.05,0))</f>
        <v>0</v>
      </c>
      <c r="AU29" s="151" t="s">
        <v>1</v>
      </c>
      <c r="AV29" s="38"/>
      <c r="AW29" s="191"/>
      <c r="AX29" s="69" t="s">
        <v>2</v>
      </c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73"/>
      <c r="BL29" s="67"/>
      <c r="BM29" s="67"/>
      <c r="BN29" s="67"/>
      <c r="BO29" s="67"/>
      <c r="BP29" s="67"/>
      <c r="BQ29" s="67"/>
      <c r="BR29" s="67"/>
      <c r="BS29" s="73"/>
      <c r="BT29" s="93"/>
      <c r="BU29" s="67"/>
    </row>
    <row r="30" spans="1:73" ht="1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191"/>
      <c r="AM30" s="152" t="s">
        <v>111</v>
      </c>
      <c r="AN30" s="153" t="s">
        <v>3</v>
      </c>
      <c r="AO30" s="154">
        <f>IF(AO20="AZ 0","0",AO20*10)</f>
        <v>6</v>
      </c>
      <c r="AP30" s="155" t="s">
        <v>45</v>
      </c>
      <c r="AQ30" s="156">
        <f>ROUND(AT24,2)+AT29</f>
        <v>7.71</v>
      </c>
      <c r="AR30" s="157" t="s">
        <v>161</v>
      </c>
      <c r="AS30" s="156">
        <f>MROUND(AQ30,0.05)</f>
        <v>7.7</v>
      </c>
      <c r="AT30" s="157" t="s">
        <v>51</v>
      </c>
      <c r="AU30" s="156">
        <f>IF(X18&lt;0,MROUND(-X18,0.25)*(-1),MROUND(X18,0.25))</f>
        <v>1.75</v>
      </c>
      <c r="AV30" s="158" t="s">
        <v>37</v>
      </c>
      <c r="AW30" s="195"/>
      <c r="AX30" s="69" t="s">
        <v>2</v>
      </c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73"/>
      <c r="BL30" s="67"/>
      <c r="BM30" s="67"/>
      <c r="BN30" s="67"/>
      <c r="BO30" s="67"/>
      <c r="BP30" s="67"/>
      <c r="BQ30" s="67"/>
      <c r="BR30" s="67"/>
      <c r="BS30" s="73"/>
      <c r="BT30" s="93"/>
      <c r="BU30" s="67"/>
    </row>
    <row r="31" spans="1:73" ht="15" customHeight="1" thickBot="1" x14ac:dyDescent="0.25">
      <c r="A31" s="38"/>
      <c r="B31" s="6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91"/>
      <c r="AM31" s="159" t="s">
        <v>31</v>
      </c>
      <c r="AN31" s="160" t="s">
        <v>3</v>
      </c>
      <c r="AO31" s="161">
        <f>IF(AS15&lt;=0.3,0,IF(AO30&gt;6,6,AO30+1))</f>
        <v>7</v>
      </c>
      <c r="AP31" s="162" t="s">
        <v>45</v>
      </c>
      <c r="AQ31" s="163">
        <f>IF(AS15&gt;=0.3,AS12-((AO31/10)-AS16)*0.7+AT29,AS12+AT29)</f>
        <v>7.6435000000000004</v>
      </c>
      <c r="AR31" s="164" t="s">
        <v>161</v>
      </c>
      <c r="AS31" s="163">
        <f>MROUND(AQ31,0.05)</f>
        <v>7.65</v>
      </c>
      <c r="AT31" s="164" t="s">
        <v>51</v>
      </c>
      <c r="AU31" s="163">
        <f>IF(AU42&lt;0,MROUND(-AU42,0.25)*(-1),MROUND(AU42,0.25))</f>
        <v>1.5</v>
      </c>
      <c r="AV31" s="165" t="s">
        <v>37</v>
      </c>
      <c r="AW31" s="195"/>
      <c r="AX31" s="69" t="s">
        <v>2</v>
      </c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73"/>
      <c r="BL31" s="67"/>
      <c r="BM31" s="67"/>
      <c r="BN31" s="67"/>
      <c r="BO31" s="67"/>
      <c r="BP31" s="67"/>
      <c r="BQ31" s="67"/>
      <c r="BR31" s="67"/>
      <c r="BS31" s="73"/>
      <c r="BT31" s="93"/>
      <c r="BU31" s="67"/>
    </row>
    <row r="32" spans="1:73" ht="15" customHeight="1" thickBot="1" x14ac:dyDescent="0.25">
      <c r="A32" s="38"/>
      <c r="B32" s="6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91"/>
      <c r="AM32" s="69"/>
      <c r="AN32" s="38"/>
      <c r="AO32" s="38"/>
      <c r="AP32" s="67"/>
      <c r="AQ32" s="67"/>
      <c r="AR32" s="38"/>
      <c r="AS32" s="67"/>
      <c r="AT32" s="67"/>
      <c r="AU32" s="100"/>
      <c r="AV32" s="67"/>
      <c r="AW32" s="195"/>
      <c r="AX32" s="69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73"/>
      <c r="BL32" s="67"/>
      <c r="BM32" s="67"/>
      <c r="BN32" s="67"/>
      <c r="BO32" s="67"/>
      <c r="BP32" s="67"/>
      <c r="BQ32" s="67"/>
      <c r="BR32" s="67"/>
      <c r="BS32" s="67"/>
      <c r="BT32" s="67"/>
      <c r="BU32" s="67"/>
    </row>
    <row r="33" spans="1:73" ht="15" customHeight="1" thickBot="1" x14ac:dyDescent="0.25">
      <c r="A33" s="38"/>
      <c r="B33" s="69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191"/>
      <c r="AM33" s="166" t="str">
        <f>IF(AR33="","sph. Weichlinse","tor. Weichlinse")</f>
        <v>sph. Weichlinse</v>
      </c>
      <c r="AN33" s="167" t="s">
        <v>45</v>
      </c>
      <c r="AO33" s="168">
        <f>IF(C19&lt;9,AO12+Q22-0.2,(IF(C19&gt;11,AO12+Q22+0.2,AO12+Q22)))</f>
        <v>8.49</v>
      </c>
      <c r="AP33" s="169" t="s">
        <v>54</v>
      </c>
      <c r="AQ33" s="170">
        <f>IF((ABS(AR36)&lt;=0.5),IF(AU35&lt;0,MROUND(-AU35,0.25)*(-1),MROUND(AU35,0.25)),IF(AP36&lt;0,MROUND(-AP36,0.25)*(-1),MROUND(AP36,0.25)))</f>
        <v>1.75</v>
      </c>
      <c r="AR33" s="171" t="str">
        <f>IF((ABS(AR36)&lt;=0.5),"",IF(AR36&lt;0,MROUND(-AR36,0.25)*(-1),MROUND(AR36,0.25)))</f>
        <v/>
      </c>
      <c r="AS33" s="172" t="str">
        <f>IF(ABS(AR36)&lt;=0.5,"",MROUND(AT36,10))</f>
        <v/>
      </c>
      <c r="AT33" s="173" t="s">
        <v>55</v>
      </c>
      <c r="AU33" s="168">
        <f>IF(C19&lt;9,C20+1.5,(IF(C19&gt;11,C20+2.5,C20+2)))</f>
        <v>13.7</v>
      </c>
      <c r="AV33" s="174" t="s">
        <v>1</v>
      </c>
      <c r="AW33" s="191"/>
      <c r="AX33" s="69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73"/>
      <c r="BL33" s="67"/>
      <c r="BM33" s="93"/>
      <c r="BN33" s="67"/>
      <c r="BO33" s="67"/>
      <c r="BP33" s="67"/>
      <c r="BQ33" s="67"/>
      <c r="BR33" s="67"/>
      <c r="BS33" s="67"/>
      <c r="BT33" s="67"/>
      <c r="BU33" s="67"/>
    </row>
    <row r="34" spans="1:73" x14ac:dyDescent="0.2">
      <c r="A34" s="38"/>
      <c r="B34" s="6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191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191"/>
      <c r="AX34" s="69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73"/>
      <c r="BL34" s="67"/>
      <c r="BM34" s="67"/>
      <c r="BN34" s="67"/>
      <c r="BO34" s="67"/>
      <c r="BP34" s="67"/>
      <c r="BQ34" s="67"/>
      <c r="BR34" s="67"/>
      <c r="BS34" s="67"/>
      <c r="BT34" s="67"/>
      <c r="BU34" s="67"/>
    </row>
    <row r="35" spans="1:73" ht="16.5" customHeight="1" x14ac:dyDescent="0.2">
      <c r="A35" s="38"/>
      <c r="B35" s="69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191"/>
      <c r="AM35" s="175" t="s">
        <v>67</v>
      </c>
      <c r="AN35" s="176"/>
      <c r="AO35" s="177">
        <f>C7</f>
        <v>0</v>
      </c>
      <c r="AP35" s="176" t="s">
        <v>68</v>
      </c>
      <c r="AQ35" s="176"/>
      <c r="AR35" s="176"/>
      <c r="AS35" s="176"/>
      <c r="AT35" s="178" t="s">
        <v>57</v>
      </c>
      <c r="AU35" s="179">
        <f>AP36+(AR36/2)</f>
        <v>1.75</v>
      </c>
      <c r="AV35" s="176" t="s">
        <v>37</v>
      </c>
      <c r="AW35" s="191"/>
      <c r="AX35" s="69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73"/>
      <c r="BL35" s="67"/>
      <c r="BM35" s="93"/>
      <c r="BN35" s="67"/>
      <c r="BO35" s="180"/>
      <c r="BP35" s="181"/>
      <c r="BQ35" s="67"/>
      <c r="BR35" s="89"/>
      <c r="BS35" s="67"/>
      <c r="BT35" s="67"/>
      <c r="BU35" s="67"/>
    </row>
    <row r="36" spans="1:73" ht="15" customHeight="1" x14ac:dyDescent="0.2">
      <c r="A36" s="38"/>
      <c r="B36" s="6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191"/>
      <c r="AM36" s="175" t="s">
        <v>113</v>
      </c>
      <c r="AN36" s="176"/>
      <c r="AO36" s="178" t="s">
        <v>61</v>
      </c>
      <c r="AP36" s="179">
        <f>F4</f>
        <v>2</v>
      </c>
      <c r="AQ36" s="151" t="s">
        <v>60</v>
      </c>
      <c r="AR36" s="175">
        <f>F5</f>
        <v>-0.5</v>
      </c>
      <c r="AS36" s="176" t="s">
        <v>49</v>
      </c>
      <c r="AT36" s="149">
        <f>F6</f>
        <v>10</v>
      </c>
      <c r="AU36" s="151" t="s">
        <v>4</v>
      </c>
      <c r="AV36" s="67"/>
      <c r="AW36" s="195"/>
      <c r="AX36" s="69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73"/>
      <c r="BL36" s="67"/>
      <c r="BM36" s="93"/>
      <c r="BN36" s="67"/>
      <c r="BO36" s="89"/>
      <c r="BP36" s="67"/>
      <c r="BQ36" s="67"/>
      <c r="BR36" s="67"/>
      <c r="BS36" s="67"/>
      <c r="BT36" s="67"/>
      <c r="BU36" s="67"/>
    </row>
    <row r="37" spans="1:73" ht="13.5" customHeight="1" x14ac:dyDescent="0.2">
      <c r="A37" s="38"/>
      <c r="B37" s="6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191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191"/>
      <c r="AX37" s="69"/>
      <c r="AY37" s="38" t="s">
        <v>2</v>
      </c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73"/>
      <c r="BL37" s="67"/>
      <c r="BM37" s="67"/>
      <c r="BN37" s="67"/>
      <c r="BO37" s="89"/>
      <c r="BP37" s="67"/>
      <c r="BQ37" s="67"/>
      <c r="BR37" s="67"/>
      <c r="BS37" s="67"/>
      <c r="BT37" s="67"/>
      <c r="BU37" s="67"/>
    </row>
    <row r="38" spans="1:73" x14ac:dyDescent="0.2">
      <c r="A38" s="38"/>
      <c r="B38" s="6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191"/>
      <c r="AM38" s="175" t="s">
        <v>112</v>
      </c>
      <c r="AN38" s="151"/>
      <c r="AO38" s="182" t="s">
        <v>3</v>
      </c>
      <c r="AP38" s="183">
        <f>AO30</f>
        <v>6</v>
      </c>
      <c r="AQ38" s="184" t="s">
        <v>34</v>
      </c>
      <c r="AR38" s="185">
        <f>AS30</f>
        <v>7.7</v>
      </c>
      <c r="AS38" s="151" t="s">
        <v>1</v>
      </c>
      <c r="AT38" s="182" t="s">
        <v>48</v>
      </c>
      <c r="AU38" s="179">
        <f>AO39+(AR39/2)</f>
        <v>1.8000000000000012</v>
      </c>
      <c r="AV38" s="176" t="s">
        <v>37</v>
      </c>
      <c r="AW38" s="191"/>
      <c r="AX38" s="69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73"/>
      <c r="BL38" s="67"/>
      <c r="BM38" s="93"/>
      <c r="BN38" s="67"/>
      <c r="BO38" s="89"/>
      <c r="BP38" s="67"/>
      <c r="BQ38" s="67"/>
      <c r="BR38" s="89"/>
      <c r="BS38" s="67"/>
      <c r="BT38" s="67"/>
      <c r="BU38" s="67"/>
    </row>
    <row r="39" spans="1:73" ht="12" customHeight="1" x14ac:dyDescent="0.2">
      <c r="A39" s="38"/>
      <c r="B39" s="6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191"/>
      <c r="AM39" s="175" t="s">
        <v>43</v>
      </c>
      <c r="AN39" s="176" t="s">
        <v>50</v>
      </c>
      <c r="AO39" s="175">
        <f>IF(X15&gt;Y15,X15,Y15)</f>
        <v>2.0000000000000027</v>
      </c>
      <c r="AP39" s="176" t="s">
        <v>37</v>
      </c>
      <c r="AQ39" s="176" t="s">
        <v>42</v>
      </c>
      <c r="AR39" s="175">
        <f>IF(X15&gt;Y15,Y15-X15,IF(X15&lt;Y15,X15-Y15,0))</f>
        <v>-0.40000000000000302</v>
      </c>
      <c r="AS39" s="176" t="s">
        <v>37</v>
      </c>
      <c r="AT39" s="178" t="s">
        <v>56</v>
      </c>
      <c r="AU39" s="186">
        <f>IF(X15&gt;Y15,F6,IF(X15&lt;Y15,J6,""))</f>
        <v>100</v>
      </c>
      <c r="AV39" s="176" t="s">
        <v>4</v>
      </c>
      <c r="AW39" s="195"/>
      <c r="AX39" s="69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73"/>
      <c r="BL39" s="67"/>
      <c r="BM39" s="67"/>
      <c r="BN39" s="67"/>
      <c r="BO39" s="89"/>
      <c r="BP39" s="67"/>
      <c r="BQ39" s="67"/>
      <c r="BR39" s="67"/>
      <c r="BS39" s="67"/>
      <c r="BT39" s="67"/>
      <c r="BU39" s="67"/>
    </row>
    <row r="40" spans="1:73" x14ac:dyDescent="0.2">
      <c r="A40" s="38"/>
      <c r="B40" s="6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191"/>
      <c r="AM40" s="175" t="s">
        <v>58</v>
      </c>
      <c r="AN40" s="176" t="s">
        <v>50</v>
      </c>
      <c r="AO40" s="175">
        <f>IF(AO39&lt;0,(MROUND(-AO39,0.25))*-1,MROUND(AO39,0.25))</f>
        <v>2</v>
      </c>
      <c r="AP40" s="176" t="s">
        <v>37</v>
      </c>
      <c r="AQ40" s="176" t="s">
        <v>42</v>
      </c>
      <c r="AR40" s="175">
        <f>IF(AR39&lt;0,(MROUND(-AR39,0.25))*-1,MROUND(AR39,0.25))</f>
        <v>-0.5</v>
      </c>
      <c r="AS40" s="176" t="s">
        <v>37</v>
      </c>
      <c r="AT40" s="178" t="s">
        <v>56</v>
      </c>
      <c r="AU40" s="186">
        <f>AU39</f>
        <v>100</v>
      </c>
      <c r="AV40" s="176" t="s">
        <v>4</v>
      </c>
      <c r="AW40" s="195"/>
      <c r="AX40" s="69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73"/>
      <c r="BL40" s="67"/>
      <c r="BM40" s="93"/>
      <c r="BN40" s="67"/>
      <c r="BO40" s="180"/>
      <c r="BP40" s="67"/>
      <c r="BQ40" s="67"/>
      <c r="BR40" s="67"/>
      <c r="BS40" s="67"/>
      <c r="BT40" s="67"/>
      <c r="BU40" s="67"/>
    </row>
    <row r="41" spans="1:73" x14ac:dyDescent="0.2">
      <c r="A41" s="38"/>
      <c r="B41" s="6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191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191"/>
      <c r="AX41" s="69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73"/>
      <c r="BL41" s="67"/>
      <c r="BM41" s="93"/>
      <c r="BN41" s="67"/>
      <c r="BO41" s="89"/>
      <c r="BP41" s="67"/>
      <c r="BQ41" s="67"/>
      <c r="BR41" s="67"/>
      <c r="BS41" s="108"/>
      <c r="BT41" s="148"/>
      <c r="BU41" s="67"/>
    </row>
    <row r="42" spans="1:73" x14ac:dyDescent="0.2">
      <c r="A42" s="38"/>
      <c r="B42" s="6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191"/>
      <c r="AM42" s="175" t="s">
        <v>114</v>
      </c>
      <c r="AN42" s="151"/>
      <c r="AO42" s="182" t="s">
        <v>115</v>
      </c>
      <c r="AP42" s="183">
        <f>AO31</f>
        <v>7</v>
      </c>
      <c r="AQ42" s="184" t="s">
        <v>34</v>
      </c>
      <c r="AR42" s="185">
        <f>AS31</f>
        <v>7.65</v>
      </c>
      <c r="AS42" s="151" t="s">
        <v>1</v>
      </c>
      <c r="AT42" s="182" t="s">
        <v>48</v>
      </c>
      <c r="AU42" s="179">
        <f>AU38-((AR38-AR42)*5)</f>
        <v>1.550000000000002</v>
      </c>
      <c r="AV42" s="176" t="s">
        <v>37</v>
      </c>
      <c r="AW42" s="200"/>
      <c r="AX42" s="69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73"/>
      <c r="BL42" s="67"/>
      <c r="BM42" s="67"/>
      <c r="BN42" s="67"/>
      <c r="BO42" s="89"/>
      <c r="BP42" s="67"/>
      <c r="BQ42" s="67"/>
      <c r="BR42" s="67"/>
      <c r="BS42" s="73"/>
      <c r="BT42" s="67"/>
      <c r="BU42" s="67"/>
    </row>
    <row r="43" spans="1:73" ht="15" x14ac:dyDescent="0.2">
      <c r="A43" s="38"/>
      <c r="B43" s="6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191"/>
      <c r="AM43" s="151" t="s">
        <v>59</v>
      </c>
      <c r="AN43" s="151" t="s">
        <v>13</v>
      </c>
      <c r="AO43" s="187">
        <f>ABS((AO10+AO11)/2-(AS10+AS11)/2)</f>
        <v>4.9999999999990052E-3</v>
      </c>
      <c r="AP43" s="150" t="s">
        <v>1</v>
      </c>
      <c r="AQ43" s="187"/>
      <c r="AR43" s="188" t="s">
        <v>52</v>
      </c>
      <c r="AS43" s="189"/>
      <c r="AT43" s="185" t="str">
        <f>IF(ABS(C13-C14)&gt;=0.15,IF((C13-C14)&gt;0,"temporal","nasal"),IF(ABS(C13-C14)&gt;=0.15," ","relativ zentral"))</f>
        <v>temporal</v>
      </c>
      <c r="AU43" s="187" t="str">
        <f>IF(ABS(C15-C16)&gt;=0.15,IF((C15-C16)&gt;0," superior"," inferior")," ")</f>
        <v xml:space="preserve"> </v>
      </c>
      <c r="AV43" s="151"/>
      <c r="AW43" s="191"/>
      <c r="AX43" s="69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73"/>
      <c r="BL43" s="67"/>
      <c r="BM43" s="93"/>
      <c r="BN43" s="67"/>
      <c r="BO43" s="89"/>
      <c r="BP43" s="67"/>
      <c r="BQ43" s="67"/>
      <c r="BR43" s="67"/>
      <c r="BS43" s="73"/>
      <c r="BT43" s="67"/>
      <c r="BU43" s="67"/>
    </row>
    <row r="44" spans="1:73" ht="9" customHeight="1" x14ac:dyDescent="0.2">
      <c r="A44" s="38"/>
      <c r="B44" s="6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191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7"/>
      <c r="AX44" s="69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73"/>
      <c r="BL44" s="67"/>
      <c r="BM44" s="67"/>
      <c r="BN44" s="67"/>
      <c r="BO44" s="89"/>
      <c r="BP44" s="67"/>
      <c r="BQ44" s="67"/>
      <c r="BR44" s="67"/>
      <c r="BS44" s="73"/>
      <c r="BT44" s="67"/>
      <c r="BU44" s="67"/>
    </row>
    <row r="45" spans="1:73" x14ac:dyDescent="0.2">
      <c r="A45" s="38"/>
      <c r="B45" s="6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69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73"/>
      <c r="BL45" s="67"/>
      <c r="BM45" s="93"/>
      <c r="BN45" s="67"/>
      <c r="BO45" s="89"/>
      <c r="BP45" s="67"/>
      <c r="BQ45" s="100"/>
      <c r="BR45" s="89"/>
      <c r="BS45" s="73"/>
      <c r="BT45" s="93"/>
      <c r="BU45" s="67"/>
    </row>
    <row r="46" spans="1:73" x14ac:dyDescent="0.2">
      <c r="A46" s="38"/>
      <c r="B46" s="6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69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73"/>
      <c r="BL46" s="67"/>
      <c r="BM46" s="67"/>
      <c r="BN46" s="67"/>
      <c r="BO46" s="67"/>
      <c r="BP46" s="67"/>
      <c r="BQ46" s="100"/>
      <c r="BR46" s="89"/>
      <c r="BS46" s="73"/>
      <c r="BT46" s="93"/>
      <c r="BU46" s="67"/>
    </row>
    <row r="47" spans="1:73" ht="14.25" customHeight="1" x14ac:dyDescent="0.2">
      <c r="A47" s="38"/>
      <c r="B47" s="6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69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73"/>
      <c r="BL47" s="67"/>
      <c r="BM47" s="67"/>
      <c r="BN47" s="67"/>
      <c r="BO47" s="67"/>
      <c r="BP47" s="67"/>
      <c r="BQ47" s="67"/>
      <c r="BR47" s="67"/>
      <c r="BS47" s="67"/>
      <c r="BT47" s="67"/>
      <c r="BU47" s="67"/>
    </row>
    <row r="48" spans="1:73" x14ac:dyDescent="0.2">
      <c r="A48" s="38"/>
      <c r="B48" s="6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69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73"/>
      <c r="BL48" s="67"/>
      <c r="BM48" s="67"/>
      <c r="BN48" s="67"/>
      <c r="BO48" s="67"/>
      <c r="BP48" s="93"/>
      <c r="BQ48" s="67"/>
      <c r="BR48" s="67"/>
      <c r="BS48" s="67"/>
      <c r="BT48" s="67"/>
      <c r="BU48" s="67"/>
    </row>
    <row r="49" spans="1:73" x14ac:dyDescent="0.2">
      <c r="A49" s="38"/>
      <c r="B49" s="69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69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73"/>
      <c r="BL49" s="67"/>
      <c r="BM49" s="67"/>
      <c r="BN49" s="67"/>
      <c r="BO49" s="67"/>
      <c r="BP49" s="67"/>
      <c r="BQ49" s="67"/>
      <c r="BR49" s="67"/>
      <c r="BS49" s="67"/>
      <c r="BT49" s="67"/>
      <c r="BU49" s="67"/>
    </row>
    <row r="50" spans="1:73" x14ac:dyDescent="0.2">
      <c r="A50" s="38"/>
      <c r="B50" s="6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69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73"/>
      <c r="BL50" s="67"/>
      <c r="BM50" s="67"/>
      <c r="BN50" s="67"/>
      <c r="BO50" s="67"/>
      <c r="BP50" s="38"/>
      <c r="BQ50" s="38"/>
      <c r="BR50" s="108"/>
      <c r="BS50" s="93"/>
      <c r="BT50" s="38"/>
      <c r="BU50" s="38"/>
    </row>
    <row r="51" spans="1:73" x14ac:dyDescent="0.2">
      <c r="A51" s="38"/>
      <c r="B51" s="6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69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73"/>
      <c r="BL51" s="67"/>
      <c r="BM51" s="67"/>
      <c r="BN51" s="67"/>
      <c r="BO51" s="67"/>
      <c r="BP51" s="67"/>
      <c r="BQ51" s="67"/>
      <c r="BR51" s="67"/>
      <c r="BS51" s="67"/>
      <c r="BT51" s="67"/>
      <c r="BU51" s="67"/>
    </row>
    <row r="52" spans="1:73" x14ac:dyDescent="0.2">
      <c r="A52" s="38"/>
      <c r="B52" s="6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69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73"/>
      <c r="BL52" s="67"/>
      <c r="BM52" s="67"/>
      <c r="BN52" s="67"/>
      <c r="BO52" s="67"/>
      <c r="BP52" s="67"/>
      <c r="BQ52" s="67"/>
      <c r="BR52" s="67"/>
      <c r="BS52" s="38"/>
      <c r="BT52" s="67"/>
      <c r="BU52" s="67"/>
    </row>
    <row r="53" spans="1:73" x14ac:dyDescent="0.2">
      <c r="A53" s="38"/>
      <c r="B53" s="6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69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7"/>
      <c r="BL53" s="38"/>
      <c r="BM53" s="67"/>
      <c r="BN53" s="67"/>
      <c r="BO53" s="67"/>
      <c r="BP53" s="67"/>
      <c r="BQ53" s="67"/>
      <c r="BR53" s="67"/>
      <c r="BS53" s="67"/>
      <c r="BT53" s="67"/>
      <c r="BU53" s="67"/>
    </row>
    <row r="54" spans="1:73" x14ac:dyDescent="0.2">
      <c r="A54" s="38"/>
      <c r="B54" s="69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69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7"/>
      <c r="BL54" s="38"/>
      <c r="BM54" s="67"/>
      <c r="BN54" s="67"/>
      <c r="BO54" s="67"/>
      <c r="BP54" s="67"/>
      <c r="BQ54" s="67"/>
      <c r="BR54" s="67"/>
      <c r="BS54" s="67"/>
      <c r="BT54" s="67"/>
      <c r="BU54" s="67"/>
    </row>
    <row r="55" spans="1:73" x14ac:dyDescent="0.2">
      <c r="A55" s="38"/>
      <c r="B55" s="69" t="s">
        <v>2</v>
      </c>
      <c r="C55" s="38"/>
      <c r="D55" s="38"/>
      <c r="E55" s="67"/>
      <c r="F55" s="67"/>
      <c r="G55" s="67"/>
      <c r="H55" s="67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69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7"/>
      <c r="BL55" s="38"/>
      <c r="BM55" s="38"/>
      <c r="BN55" s="38"/>
      <c r="BO55" s="38"/>
      <c r="BP55" s="38"/>
      <c r="BQ55" s="38"/>
      <c r="BR55" s="38"/>
      <c r="BS55" s="38"/>
      <c r="BT55" s="190"/>
      <c r="BU55" s="67"/>
    </row>
    <row r="56" spans="1:73" x14ac:dyDescent="0.2">
      <c r="A56" s="38"/>
      <c r="B56" s="69"/>
      <c r="C56" s="38"/>
      <c r="D56" s="38"/>
      <c r="E56" s="67" t="s">
        <v>2</v>
      </c>
      <c r="F56" s="67"/>
      <c r="G56" s="67"/>
      <c r="H56" s="67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69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</row>
    <row r="57" spans="1:73" x14ac:dyDescent="0.2">
      <c r="A57" s="38"/>
      <c r="B57" s="69"/>
      <c r="C57" s="38"/>
      <c r="D57" s="38"/>
      <c r="E57" s="38" t="s">
        <v>2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69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</row>
    <row r="58" spans="1:73" x14ac:dyDescent="0.2">
      <c r="A58" s="38"/>
      <c r="B58" s="69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69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</row>
    <row r="59" spans="1:73" x14ac:dyDescent="0.2">
      <c r="A59" s="38"/>
      <c r="B59" s="69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69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</row>
    <row r="60" spans="1:73" x14ac:dyDescent="0.2">
      <c r="A60" s="38"/>
      <c r="B60" s="6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69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</row>
    <row r="61" spans="1:73" x14ac:dyDescent="0.2">
      <c r="A61" s="38"/>
      <c r="B61" s="6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69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</row>
    <row r="62" spans="1:73" x14ac:dyDescent="0.2">
      <c r="A62" s="38"/>
      <c r="B62" s="6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69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</row>
    <row r="63" spans="1:73" x14ac:dyDescent="0.2">
      <c r="A63" s="38"/>
      <c r="B63" s="6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69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</row>
    <row r="64" spans="1:73" x14ac:dyDescent="0.2">
      <c r="A64" s="38"/>
      <c r="B64" s="6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69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</row>
    <row r="65" spans="1:73" x14ac:dyDescent="0.2">
      <c r="A65" s="38"/>
      <c r="B65" s="6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69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</row>
    <row r="66" spans="1:73" x14ac:dyDescent="0.2">
      <c r="A66" s="38"/>
      <c r="B66" s="69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69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</row>
    <row r="67" spans="1:73" x14ac:dyDescent="0.2">
      <c r="A67" s="38"/>
      <c r="B67" s="6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69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</row>
    <row r="68" spans="1:73" x14ac:dyDescent="0.2">
      <c r="A68" s="38"/>
      <c r="B68" s="6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69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</row>
    <row r="69" spans="1:73" x14ac:dyDescent="0.2">
      <c r="A69" s="38"/>
      <c r="B69" s="69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69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</row>
    <row r="70" spans="1:73" x14ac:dyDescent="0.2">
      <c r="A70" s="38"/>
      <c r="B70" s="69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69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</row>
    <row r="71" spans="1:73" x14ac:dyDescent="0.2">
      <c r="A71" s="38"/>
      <c r="B71" s="69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69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</row>
    <row r="72" spans="1:73" x14ac:dyDescent="0.2">
      <c r="A72" s="38"/>
      <c r="B72" s="69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69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</row>
    <row r="73" spans="1:73" x14ac:dyDescent="0.2">
      <c r="A73" s="38"/>
      <c r="B73" s="69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69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</row>
    <row r="74" spans="1:73" x14ac:dyDescent="0.2">
      <c r="A74" s="38"/>
      <c r="B74" s="69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69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</row>
    <row r="75" spans="1:73" x14ac:dyDescent="0.2">
      <c r="A75" s="38"/>
      <c r="B75" s="6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69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</row>
    <row r="76" spans="1:73" x14ac:dyDescent="0.2">
      <c r="A76" s="38"/>
      <c r="B76" s="6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69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</row>
    <row r="77" spans="1:73" x14ac:dyDescent="0.2">
      <c r="A77" s="38"/>
      <c r="B77" s="69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69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</row>
    <row r="78" spans="1:73" x14ac:dyDescent="0.2">
      <c r="A78" s="38"/>
      <c r="B78" s="6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69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</row>
    <row r="79" spans="1:73" x14ac:dyDescent="0.2">
      <c r="A79" s="38"/>
      <c r="B79" s="69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69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</row>
    <row r="80" spans="1:73" x14ac:dyDescent="0.2">
      <c r="A80" s="38"/>
      <c r="B80" s="69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69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</row>
    <row r="81" spans="1:73" x14ac:dyDescent="0.2">
      <c r="A81" s="38"/>
      <c r="B81" s="69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69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</row>
    <row r="82" spans="1:73" x14ac:dyDescent="0.2">
      <c r="A82" s="38"/>
      <c r="B82" s="69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69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</row>
    <row r="83" spans="1:73" x14ac:dyDescent="0.2">
      <c r="A83" s="38"/>
      <c r="B83" s="6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69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</row>
    <row r="84" spans="1:73" x14ac:dyDescent="0.2">
      <c r="A84" s="38"/>
      <c r="B84" s="6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69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</row>
    <row r="85" spans="1:73" x14ac:dyDescent="0.2">
      <c r="A85" s="38"/>
      <c r="B85" s="69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69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</row>
    <row r="86" spans="1:73" x14ac:dyDescent="0.2">
      <c r="A86" s="38"/>
      <c r="B86" s="6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69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</row>
    <row r="87" spans="1:73" x14ac:dyDescent="0.2">
      <c r="A87" s="38"/>
      <c r="B87" s="69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69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</row>
    <row r="88" spans="1:73" x14ac:dyDescent="0.2">
      <c r="A88" s="38"/>
      <c r="B88" s="6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69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</row>
    <row r="89" spans="1:73" x14ac:dyDescent="0.2">
      <c r="A89" s="38"/>
      <c r="B89" s="69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69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</row>
    <row r="90" spans="1:73" x14ac:dyDescent="0.2">
      <c r="A90" s="38"/>
      <c r="B90" s="69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69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</row>
    <row r="91" spans="1:73" x14ac:dyDescent="0.2">
      <c r="A91" s="38"/>
      <c r="B91" s="6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69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</row>
    <row r="92" spans="1:73" x14ac:dyDescent="0.2">
      <c r="A92" s="38"/>
      <c r="B92" s="69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69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</row>
    <row r="93" spans="1:73" x14ac:dyDescent="0.2">
      <c r="A93" s="38"/>
      <c r="B93" s="6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69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</row>
    <row r="94" spans="1:73" x14ac:dyDescent="0.2">
      <c r="A94" s="38"/>
      <c r="B94" s="69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69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</row>
    <row r="95" spans="1:73" x14ac:dyDescent="0.2">
      <c r="A95" s="38"/>
      <c r="B95" s="69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69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</row>
    <row r="96" spans="1:73" x14ac:dyDescent="0.2">
      <c r="A96" s="38"/>
      <c r="B96" s="69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69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</row>
    <row r="97" spans="1:73" x14ac:dyDescent="0.2">
      <c r="A97" s="38"/>
      <c r="B97" s="69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69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</row>
    <row r="98" spans="1:73" x14ac:dyDescent="0.2">
      <c r="A98" s="38"/>
      <c r="B98" s="69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69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</row>
    <row r="99" spans="1:73" x14ac:dyDescent="0.2">
      <c r="A99" s="38"/>
      <c r="B99" s="69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69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</row>
    <row r="100" spans="1:73" x14ac:dyDescent="0.2">
      <c r="A100" s="38"/>
      <c r="B100" s="69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69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</row>
    <row r="101" spans="1:73" x14ac:dyDescent="0.2">
      <c r="A101" s="38"/>
      <c r="B101" s="69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69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</row>
    <row r="102" spans="1:73" x14ac:dyDescent="0.2">
      <c r="A102" s="38"/>
      <c r="B102" s="69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69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</row>
    <row r="103" spans="1:73" x14ac:dyDescent="0.2">
      <c r="A103" s="38"/>
      <c r="B103" s="69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69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</row>
    <row r="104" spans="1:73" x14ac:dyDescent="0.2">
      <c r="A104" s="38"/>
      <c r="B104" s="69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69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</row>
    <row r="105" spans="1:73" x14ac:dyDescent="0.2">
      <c r="A105" s="38"/>
      <c r="B105" s="69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69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</row>
    <row r="106" spans="1:73" x14ac:dyDescent="0.2">
      <c r="A106" s="38"/>
      <c r="B106" s="69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69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</row>
    <row r="107" spans="1:73" x14ac:dyDescent="0.2">
      <c r="A107" s="38"/>
      <c r="B107" s="69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69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</row>
    <row r="108" spans="1:73" x14ac:dyDescent="0.2">
      <c r="A108" s="38"/>
      <c r="B108" s="69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69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</row>
    <row r="109" spans="1:73" x14ac:dyDescent="0.2">
      <c r="A109" s="38"/>
      <c r="B109" s="69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69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</row>
    <row r="110" spans="1:73" x14ac:dyDescent="0.2">
      <c r="A110" s="38"/>
      <c r="B110" s="69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69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</row>
  </sheetData>
  <sheetProtection password="CDCE" sheet="1" objects="1" scenarios="1" selectLockedCells="1"/>
  <customSheetViews>
    <customSheetView guid="{B1D94C4E-3F70-49FE-A1EC-47C95B05E6DE}" scale="90" showGridLines="0">
      <selection activeCell="E45" activeCellId="3" sqref="E3:E5 J4:J5 E7:E14 E45"/>
      <pageMargins left="0.70866141732283472" right="0.70866141732283472" top="0.59" bottom="0.55000000000000004" header="0.31496062992125984" footer="0.31496062992125984"/>
      <pageSetup paperSize="9" scale="115" orientation="portrait" r:id="rId1"/>
    </customSheetView>
  </customSheetViews>
  <dataValidations count="11">
    <dataValidation type="decimal" allowBlank="1" showInputMessage="1" showErrorMessage="1" error="Minus-Zylinder eingeben_x000a_zwischen 0 und -10,00 dpt." sqref="C5">
      <formula1>-10</formula1>
      <formula2>0</formula2>
    </dataValidation>
    <dataValidation type="decimal" errorStyle="warning" allowBlank="1" showInputMessage="1" showErrorMessage="1" errorTitle="ungültig !!" sqref="C4">
      <formula1>-35</formula1>
      <formula2>35</formula2>
    </dataValidation>
    <dataValidation type="whole" allowBlank="1" showInputMessage="1" showErrorMessage="1" error="Achsen zwischen 0° und 180° eingeben._x000a_" sqref="C6">
      <formula1>0</formula1>
      <formula2>180</formula2>
    </dataValidation>
    <dataValidation type="whole" allowBlank="1" showInputMessage="1" showErrorMessage="1" error="HSA zwischen 0 und 25 mm eingeben. " sqref="C7">
      <formula1>0</formula1>
      <formula2>25</formula2>
    </dataValidation>
    <dataValidation type="decimal" allowBlank="1" showInputMessage="1" showErrorMessage="1" error="Zentralradien zwischen 4 und 12 mm einegeben." sqref="C9 C11">
      <formula1>4</formula1>
      <formula2>12</formula2>
    </dataValidation>
    <dataValidation type="whole" allowBlank="1" showInputMessage="1" showErrorMessage="1" error="Messwinkel-Eingabe von 30°, 25° oder 20° erlaubt." prompt="Messwinkel 30°, 25° oder 20° eingeben." sqref="C12">
      <formula1>20</formula1>
      <formula2>30</formula2>
    </dataValidation>
    <dataValidation type="decimal" allowBlank="1" showInputMessage="1" showErrorMessage="1" error="Sagittalradien zwischen 5 und 12 mm erlaubt." sqref="C13:C16">
      <formula1>5</formula1>
      <formula2>12</formula2>
    </dataValidation>
    <dataValidation type="decimal" allowBlank="1" showInputMessage="1" showErrorMessage="1" error="Eingabe zwischen 5,0 und 14,0 mm erlaubt." sqref="C19">
      <formula1>5</formula1>
      <formula2>14</formula2>
    </dataValidation>
    <dataValidation type="whole" allowBlank="1" showInputMessage="1" showErrorMessage="1" error="Horizontale Achseingabe zwischen 0° und 45° oder zwischen 135° und 180° eingeben." prompt="Achse des horizontalen Zentralradius eingeben._x000a_D.h. zwischen 0° und 45° oder 135° bis 180°." sqref="C10">
      <formula1>0</formula1>
      <formula2>180</formula2>
    </dataValidation>
    <dataValidation type="decimal" allowBlank="1" showInputMessage="1" showErrorMessage="1" error="Eingabe zwischen 8,0 und 14,0 mm erlaubt." sqref="C20 C21">
      <formula1>8</formula1>
      <formula2>14</formula2>
    </dataValidation>
    <dataValidation type="whole" allowBlank="1" showInputMessage="1" showErrorMessage="1" error="Zugelassen ist nur 1,2 oder 3" sqref="C22">
      <formula1>1</formula1>
      <formula2>3</formula2>
    </dataValidation>
  </dataValidations>
  <hyperlinks>
    <hyperlink ref="D2:U2" r:id="rId2" display="Download neuste Version"/>
    <hyperlink ref="C2:E2" r:id="rId3" display="Download neuste Version"/>
  </hyperlinks>
  <pageMargins left="0.70866141732283472" right="0.70866141732283472" top="0.59" bottom="0.55000000000000004" header="0.31496062992125984" footer="0.31496062992125984"/>
  <pageSetup paperSize="9" scale="115" orientation="portrait" r:id="rId4"/>
  <ignoredErrors>
    <ignoredError sqref="AO13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RowColHeaders="0" workbookViewId="0">
      <selection activeCell="B5" sqref="B5"/>
    </sheetView>
  </sheetViews>
  <sheetFormatPr baseColWidth="10" defaultRowHeight="12.75" x14ac:dyDescent="0.2"/>
  <cols>
    <col min="1" max="1" width="11.42578125" style="275"/>
    <col min="2" max="2" width="52.42578125" style="275" customWidth="1"/>
    <col min="3" max="16384" width="11.42578125" style="275"/>
  </cols>
  <sheetData>
    <row r="1" spans="1:2" x14ac:dyDescent="0.2">
      <c r="A1" s="301"/>
    </row>
    <row r="5" spans="1:2" ht="30" x14ac:dyDescent="0.2">
      <c r="B5" s="308" t="s">
        <v>192</v>
      </c>
    </row>
  </sheetData>
  <sheetProtection password="CDCE" sheet="1" objects="1" scenarios="1" selectLockedCells="1"/>
  <hyperlinks>
    <hyperlink ref="B5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73"/>
  <sheetViews>
    <sheetView showGridLines="0" showRowColHeaders="0" showRuler="0" showWhiteSpace="0" topLeftCell="A13" zoomScale="120" zoomScaleNormal="148" zoomScalePageLayoutView="120" workbookViewId="0">
      <selection activeCell="I43" sqref="I43"/>
    </sheetView>
  </sheetViews>
  <sheetFormatPr baseColWidth="10" defaultRowHeight="12.75" x14ac:dyDescent="0.2"/>
  <cols>
    <col min="1" max="1" width="1.7109375" style="53" customWidth="1"/>
    <col min="2" max="2" width="2.85546875" style="53" customWidth="1"/>
    <col min="3" max="3" width="1.140625" style="53" customWidth="1"/>
    <col min="4" max="4" width="13" style="53" customWidth="1"/>
    <col min="5" max="5" width="8.140625" style="53" customWidth="1"/>
    <col min="6" max="6" width="7.140625" style="53" customWidth="1"/>
    <col min="7" max="7" width="6.42578125" style="53" customWidth="1"/>
    <col min="8" max="8" width="5.7109375" style="53" customWidth="1"/>
    <col min="9" max="9" width="7.28515625" style="53" customWidth="1"/>
    <col min="10" max="10" width="7" style="53" customWidth="1"/>
    <col min="11" max="11" width="8.28515625" style="53" customWidth="1"/>
    <col min="12" max="12" width="7.5703125" style="53" customWidth="1"/>
    <col min="13" max="13" width="4.7109375" style="53" customWidth="1"/>
    <col min="14" max="14" width="2.28515625" style="53" customWidth="1"/>
    <col min="15" max="15" width="1.140625" style="53" customWidth="1"/>
    <col min="16" max="16" width="7.85546875" style="53" customWidth="1"/>
    <col min="17" max="17" width="9.28515625" style="53" customWidth="1"/>
    <col min="18" max="18" width="4.140625" style="53" customWidth="1"/>
    <col min="19" max="19" width="7" style="53" customWidth="1"/>
    <col min="20" max="20" width="7.140625" style="53" customWidth="1"/>
    <col min="21" max="21" width="3.42578125" style="53" customWidth="1"/>
    <col min="22" max="22" width="11" style="53" customWidth="1"/>
    <col min="23" max="23" width="11.28515625" style="53" customWidth="1"/>
    <col min="24" max="24" width="6.5703125" style="53" customWidth="1"/>
    <col min="25" max="25" width="4.140625" style="53" customWidth="1"/>
    <col min="26" max="26" width="2" style="53" customWidth="1"/>
    <col min="27" max="27" width="3.5703125" style="53" customWidth="1"/>
    <col min="28" max="16384" width="11.42578125" style="53"/>
  </cols>
  <sheetData>
    <row r="1" spans="1:16" ht="24" customHeight="1" x14ac:dyDescent="0.2">
      <c r="A1" s="489"/>
      <c r="B1" s="58"/>
      <c r="C1" s="57" t="s">
        <v>225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430"/>
      <c r="O1" s="430"/>
      <c r="P1" s="56"/>
    </row>
    <row r="2" spans="1:16" ht="9" customHeight="1" x14ac:dyDescent="0.2">
      <c r="A2" s="431"/>
      <c r="B2" s="409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432"/>
    </row>
    <row r="3" spans="1:16" x14ac:dyDescent="0.2">
      <c r="A3" s="431"/>
      <c r="B3" s="383"/>
      <c r="C3" s="384" t="s">
        <v>71</v>
      </c>
      <c r="D3" s="382"/>
      <c r="E3" s="382"/>
      <c r="F3" s="382"/>
      <c r="G3" s="382"/>
      <c r="H3" s="382"/>
      <c r="I3" s="382"/>
      <c r="J3" s="384" t="s">
        <v>72</v>
      </c>
      <c r="K3" s="384"/>
      <c r="L3" s="382"/>
      <c r="M3" s="382"/>
      <c r="N3" s="382"/>
      <c r="O3" s="382"/>
      <c r="P3" s="433"/>
    </row>
    <row r="4" spans="1:16" x14ac:dyDescent="0.2">
      <c r="A4" s="431"/>
      <c r="B4" s="383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433"/>
    </row>
    <row r="5" spans="1:16" ht="15" x14ac:dyDescent="0.2">
      <c r="A5" s="431"/>
      <c r="B5" s="383"/>
      <c r="C5" s="382"/>
      <c r="D5" s="487">
        <f>'SRM-Auswertung'!C11</f>
        <v>7.6</v>
      </c>
      <c r="E5" s="384" t="s">
        <v>174</v>
      </c>
      <c r="F5" s="382"/>
      <c r="G5" s="386">
        <f>'SRM-Auswertung'!F4</f>
        <v>2</v>
      </c>
      <c r="H5" s="387">
        <f>'SRM-Auswertung'!F5</f>
        <v>-0.5</v>
      </c>
      <c r="I5" s="388">
        <f>'SRM-Auswertung'!F6</f>
        <v>10</v>
      </c>
      <c r="J5" s="389" t="s">
        <v>4</v>
      </c>
      <c r="K5" s="382"/>
      <c r="L5" s="382"/>
      <c r="M5" s="382"/>
      <c r="N5" s="382"/>
      <c r="O5" s="382"/>
      <c r="P5" s="433"/>
    </row>
    <row r="6" spans="1:16" x14ac:dyDescent="0.2">
      <c r="A6" s="431"/>
      <c r="B6" s="383"/>
      <c r="C6" s="382"/>
      <c r="D6" s="398"/>
      <c r="E6" s="382"/>
      <c r="F6" s="382"/>
      <c r="G6" s="382"/>
      <c r="H6" s="382"/>
      <c r="I6" s="382"/>
      <c r="J6" s="382"/>
      <c r="K6" s="52" t="s">
        <v>77</v>
      </c>
      <c r="L6" s="390">
        <f>'SRM-Auswertung'!C12</f>
        <v>30</v>
      </c>
      <c r="M6" s="391" t="s">
        <v>4</v>
      </c>
      <c r="N6" s="382"/>
      <c r="O6" s="382"/>
      <c r="P6" s="433"/>
    </row>
    <row r="7" spans="1:16" x14ac:dyDescent="0.2">
      <c r="A7" s="431"/>
      <c r="B7" s="383"/>
      <c r="C7" s="382"/>
      <c r="D7" s="382"/>
      <c r="E7" s="382"/>
      <c r="F7" s="382"/>
      <c r="G7" s="382"/>
      <c r="H7" s="382"/>
      <c r="I7" s="382"/>
      <c r="J7" s="382"/>
      <c r="K7" s="52" t="s">
        <v>73</v>
      </c>
      <c r="L7" s="386">
        <f>'SRM-Auswertung'!C13</f>
        <v>7.94</v>
      </c>
      <c r="M7" s="389" t="s">
        <v>1</v>
      </c>
      <c r="N7" s="382"/>
      <c r="O7" s="382"/>
      <c r="P7" s="433"/>
    </row>
    <row r="8" spans="1:16" x14ac:dyDescent="0.2">
      <c r="A8" s="431"/>
      <c r="B8" s="383"/>
      <c r="C8" s="382"/>
      <c r="D8" s="382"/>
      <c r="E8" s="382"/>
      <c r="F8" s="382"/>
      <c r="G8" s="382"/>
      <c r="H8" s="392"/>
      <c r="I8" s="382"/>
      <c r="J8" s="382"/>
      <c r="K8" s="52" t="s">
        <v>74</v>
      </c>
      <c r="L8" s="386">
        <f>'SRM-Auswertung'!C14</f>
        <v>7.78</v>
      </c>
      <c r="M8" s="389" t="s">
        <v>1</v>
      </c>
      <c r="N8" s="382"/>
      <c r="O8" s="382"/>
      <c r="P8" s="433"/>
    </row>
    <row r="9" spans="1:16" x14ac:dyDescent="0.2">
      <c r="A9" s="431"/>
      <c r="B9" s="383"/>
      <c r="C9" s="382"/>
      <c r="D9" s="382"/>
      <c r="E9" s="382"/>
      <c r="F9" s="382"/>
      <c r="G9" s="382"/>
      <c r="H9" s="382"/>
      <c r="I9" s="382"/>
      <c r="J9" s="382"/>
      <c r="K9" s="52" t="s">
        <v>75</v>
      </c>
      <c r="L9" s="386">
        <f>'SRM-Auswertung'!C15</f>
        <v>8.2100000000000009</v>
      </c>
      <c r="M9" s="389" t="s">
        <v>1</v>
      </c>
      <c r="N9" s="382"/>
      <c r="O9" s="382"/>
      <c r="P9" s="433"/>
    </row>
    <row r="10" spans="1:16" ht="15" x14ac:dyDescent="0.2">
      <c r="A10" s="431"/>
      <c r="B10" s="383"/>
      <c r="C10" s="382"/>
      <c r="D10" s="488">
        <f>'SRM-Auswertung'!C9</f>
        <v>7.78</v>
      </c>
      <c r="E10" s="393">
        <f>'SRM-Auswertung'!C10</f>
        <v>10</v>
      </c>
      <c r="F10" s="394" t="s">
        <v>4</v>
      </c>
      <c r="G10" s="382"/>
      <c r="H10" s="382"/>
      <c r="I10" s="382"/>
      <c r="J10" s="382"/>
      <c r="K10" s="52" t="s">
        <v>76</v>
      </c>
      <c r="L10" s="386">
        <f>'SRM-Auswertung'!C16</f>
        <v>8.24</v>
      </c>
      <c r="M10" s="389" t="s">
        <v>1</v>
      </c>
      <c r="N10" s="382"/>
      <c r="O10" s="382"/>
      <c r="P10" s="433"/>
    </row>
    <row r="11" spans="1:16" x14ac:dyDescent="0.2">
      <c r="A11" s="431"/>
      <c r="B11" s="383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433"/>
    </row>
    <row r="12" spans="1:16" ht="4.5" customHeight="1" x14ac:dyDescent="0.2">
      <c r="A12" s="431"/>
      <c r="B12" s="383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433"/>
    </row>
    <row r="13" spans="1:16" x14ac:dyDescent="0.2">
      <c r="A13" s="431"/>
      <c r="B13" s="52" t="s">
        <v>78</v>
      </c>
      <c r="C13" s="389"/>
      <c r="D13" s="395" t="s">
        <v>19</v>
      </c>
      <c r="E13" s="382"/>
      <c r="F13" s="383" t="str">
        <f>'SRM-Auswertung'!F9</f>
        <v>normale</v>
      </c>
      <c r="G13" s="382" t="str">
        <f>'SRM-Auswertung'!G9</f>
        <v>Zentralradien</v>
      </c>
      <c r="H13" s="382"/>
      <c r="I13" s="382"/>
      <c r="J13" s="389" t="s">
        <v>211</v>
      </c>
      <c r="K13" s="382"/>
      <c r="L13" s="382"/>
      <c r="M13" s="382"/>
      <c r="N13" s="382"/>
      <c r="O13" s="382"/>
      <c r="P13" s="433"/>
    </row>
    <row r="14" spans="1:16" ht="4.5" customHeight="1" x14ac:dyDescent="0.2">
      <c r="A14" s="431"/>
      <c r="B14" s="383"/>
      <c r="C14" s="382"/>
      <c r="D14" s="382"/>
      <c r="E14" s="382"/>
      <c r="F14" s="382"/>
      <c r="G14" s="382"/>
      <c r="H14" s="383"/>
      <c r="I14" s="382"/>
      <c r="J14" s="382"/>
      <c r="K14" s="382"/>
      <c r="L14" s="382"/>
      <c r="M14" s="382"/>
      <c r="N14" s="382"/>
      <c r="O14" s="382"/>
      <c r="P14" s="433"/>
    </row>
    <row r="15" spans="1:16" x14ac:dyDescent="0.2">
      <c r="A15" s="431"/>
      <c r="B15" s="52" t="s">
        <v>79</v>
      </c>
      <c r="C15" s="389"/>
      <c r="D15" s="384" t="s">
        <v>22</v>
      </c>
      <c r="E15" s="382"/>
      <c r="F15" s="383" t="str">
        <f>'SRM-Auswertung'!F10</f>
        <v>normal</v>
      </c>
      <c r="G15" s="382" t="str">
        <f>'SRM-Auswertung'!G10</f>
        <v>torische Hornhaut</v>
      </c>
      <c r="H15" s="382"/>
      <c r="I15" s="382"/>
      <c r="J15" s="389" t="s">
        <v>224</v>
      </c>
      <c r="K15" s="382"/>
      <c r="L15" s="382"/>
      <c r="M15" s="382"/>
      <c r="N15" s="382"/>
      <c r="O15" s="382"/>
      <c r="P15" s="433"/>
    </row>
    <row r="16" spans="1:16" ht="5.25" customHeight="1" x14ac:dyDescent="0.2">
      <c r="A16" s="431"/>
      <c r="B16" s="383"/>
      <c r="C16" s="382"/>
      <c r="D16" s="382"/>
      <c r="E16" s="382"/>
      <c r="F16" s="389"/>
      <c r="G16" s="382"/>
      <c r="H16" s="382"/>
      <c r="I16" s="382"/>
      <c r="J16" s="382"/>
      <c r="K16" s="382"/>
      <c r="L16" s="382"/>
      <c r="M16" s="382"/>
      <c r="N16" s="382"/>
      <c r="O16" s="382"/>
      <c r="P16" s="433"/>
    </row>
    <row r="17" spans="1:16" x14ac:dyDescent="0.2">
      <c r="A17" s="431"/>
      <c r="B17" s="52" t="s">
        <v>80</v>
      </c>
      <c r="C17" s="389"/>
      <c r="D17" s="384" t="s">
        <v>213</v>
      </c>
      <c r="E17" s="382"/>
      <c r="F17" s="381" t="s">
        <v>141</v>
      </c>
      <c r="G17" s="396">
        <f>'SRM-Auswertung'!F11</f>
        <v>-1.0800000000000036</v>
      </c>
      <c r="H17" s="382">
        <f>'SRM-Auswertung'!G11</f>
        <v>10</v>
      </c>
      <c r="I17" s="389" t="s">
        <v>4</v>
      </c>
      <c r="J17" s="382"/>
      <c r="K17" s="52" t="s">
        <v>142</v>
      </c>
      <c r="L17" s="396">
        <f>'SRM-Auswertung'!F12</f>
        <v>-0.5</v>
      </c>
      <c r="M17" s="382">
        <f>'SRM-Auswertung'!G12</f>
        <v>10</v>
      </c>
      <c r="N17" s="389" t="s">
        <v>4</v>
      </c>
      <c r="O17" s="382"/>
      <c r="P17" s="433"/>
    </row>
    <row r="18" spans="1:16" x14ac:dyDescent="0.2">
      <c r="A18" s="431"/>
      <c r="B18" s="383"/>
      <c r="C18" s="382"/>
      <c r="D18" s="389" t="s">
        <v>176</v>
      </c>
      <c r="E18" s="382"/>
      <c r="F18" s="381" t="s">
        <v>143</v>
      </c>
      <c r="G18" s="396">
        <f>'SRM-Auswertung'!F13</f>
        <v>0.58000000000000362</v>
      </c>
      <c r="H18" s="382">
        <f>'SRM-Auswertung'!G13</f>
        <v>10</v>
      </c>
      <c r="I18" s="389" t="s">
        <v>4</v>
      </c>
      <c r="J18" s="382"/>
      <c r="K18" s="52"/>
      <c r="L18" s="382"/>
      <c r="M18" s="382"/>
      <c r="N18" s="382"/>
      <c r="O18" s="382"/>
      <c r="P18" s="433"/>
    </row>
    <row r="19" spans="1:16" x14ac:dyDescent="0.2">
      <c r="A19" s="431"/>
      <c r="B19" s="383"/>
      <c r="C19" s="382"/>
      <c r="D19" s="384" t="s">
        <v>144</v>
      </c>
      <c r="E19" s="382"/>
      <c r="F19" s="382" t="str">
        <f>'SRM-Auswertung'!Q5</f>
        <v>sph. wirksame Weichlinse</v>
      </c>
      <c r="G19" s="382"/>
      <c r="H19" s="382"/>
      <c r="I19" s="382"/>
      <c r="J19" s="51"/>
      <c r="K19" s="51"/>
      <c r="L19" s="396"/>
      <c r="M19" s="382"/>
      <c r="N19" s="382"/>
      <c r="O19" s="382"/>
      <c r="P19" s="433"/>
    </row>
    <row r="20" spans="1:16" x14ac:dyDescent="0.2">
      <c r="A20" s="431"/>
      <c r="B20" s="383"/>
      <c r="C20" s="382"/>
      <c r="D20" s="389" t="s">
        <v>171</v>
      </c>
      <c r="E20" s="382"/>
      <c r="F20" s="382" t="str">
        <f>'SRM-Auswertung'!Q6</f>
        <v>GA &lt; IA  -&gt; Weichlinsenvorteil</v>
      </c>
      <c r="G20" s="382"/>
      <c r="H20" s="382"/>
      <c r="I20" s="382"/>
      <c r="J20" s="51"/>
      <c r="K20" s="51"/>
      <c r="L20" s="396"/>
      <c r="M20" s="382"/>
      <c r="N20" s="382"/>
      <c r="O20" s="382"/>
      <c r="P20" s="433"/>
    </row>
    <row r="21" spans="1:16" x14ac:dyDescent="0.2">
      <c r="A21" s="431"/>
      <c r="B21" s="383"/>
      <c r="C21" s="382"/>
      <c r="D21" s="382"/>
      <c r="E21" s="382"/>
      <c r="F21" s="382" t="str">
        <f>'SRM-Auswertung'!Q7</f>
        <v>GA &lt;= 0,5  -&gt; sphärisch wirksame Linse</v>
      </c>
      <c r="G21" s="382"/>
      <c r="H21" s="382"/>
      <c r="I21" s="382"/>
      <c r="J21" s="51"/>
      <c r="K21" s="51"/>
      <c r="L21" s="396"/>
      <c r="M21" s="382"/>
      <c r="N21" s="382"/>
      <c r="O21" s="382"/>
      <c r="P21" s="433"/>
    </row>
    <row r="22" spans="1:16" x14ac:dyDescent="0.2">
      <c r="A22" s="431"/>
      <c r="B22" s="383"/>
      <c r="C22" s="382"/>
      <c r="D22" s="382"/>
      <c r="E22" s="382"/>
      <c r="F22" s="382" t="str">
        <f>'SRM-Auswertung'!Q8</f>
        <v/>
      </c>
      <c r="G22" s="382"/>
      <c r="H22" s="382"/>
      <c r="I22" s="382"/>
      <c r="J22" s="51"/>
      <c r="K22" s="51"/>
      <c r="L22" s="396"/>
      <c r="M22" s="382"/>
      <c r="N22" s="382"/>
      <c r="O22" s="382"/>
      <c r="P22" s="433"/>
    </row>
    <row r="23" spans="1:16" ht="6.75" customHeight="1" x14ac:dyDescent="0.2">
      <c r="A23" s="431"/>
      <c r="B23" s="383"/>
      <c r="C23" s="382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433"/>
    </row>
    <row r="24" spans="1:16" x14ac:dyDescent="0.2">
      <c r="A24" s="431"/>
      <c r="B24" s="52" t="s">
        <v>81</v>
      </c>
      <c r="C24" s="382"/>
      <c r="D24" s="384" t="s">
        <v>212</v>
      </c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433"/>
    </row>
    <row r="25" spans="1:16" x14ac:dyDescent="0.2">
      <c r="A25" s="431"/>
      <c r="B25" s="383"/>
      <c r="C25" s="382"/>
      <c r="D25" s="52" t="s">
        <v>82</v>
      </c>
      <c r="E25" s="434">
        <f>'SRM-Auswertung'!AO10</f>
        <v>8.120000000000001</v>
      </c>
      <c r="F25" s="420" t="s">
        <v>1</v>
      </c>
      <c r="G25" s="54"/>
      <c r="H25" s="52" t="s">
        <v>85</v>
      </c>
      <c r="I25" s="434">
        <f>'SRM-Auswertung'!AS10</f>
        <v>8.0300000000000011</v>
      </c>
      <c r="J25" s="420" t="s">
        <v>1</v>
      </c>
      <c r="K25" s="54"/>
      <c r="L25" s="54"/>
      <c r="M25" s="54"/>
      <c r="N25" s="54"/>
      <c r="O25" s="54"/>
      <c r="P25" s="432"/>
    </row>
    <row r="26" spans="1:16" x14ac:dyDescent="0.2">
      <c r="A26" s="431"/>
      <c r="B26" s="383"/>
      <c r="C26" s="382"/>
      <c r="D26" s="52" t="s">
        <v>83</v>
      </c>
      <c r="E26" s="434">
        <f>'SRM-Auswertung'!AO11</f>
        <v>7.9600000000000009</v>
      </c>
      <c r="F26" s="420" t="s">
        <v>1</v>
      </c>
      <c r="G26" s="54"/>
      <c r="H26" s="52" t="s">
        <v>86</v>
      </c>
      <c r="I26" s="434">
        <f>'SRM-Auswertung'!AS11</f>
        <v>8.0599999999999987</v>
      </c>
      <c r="J26" s="420" t="s">
        <v>1</v>
      </c>
      <c r="K26" s="54"/>
      <c r="L26" s="54"/>
      <c r="M26" s="54"/>
      <c r="N26" s="382"/>
      <c r="O26" s="382"/>
      <c r="P26" s="433"/>
    </row>
    <row r="27" spans="1:16" x14ac:dyDescent="0.2">
      <c r="A27" s="431"/>
      <c r="B27" s="383"/>
      <c r="C27" s="382"/>
      <c r="D27" s="384"/>
      <c r="E27" s="388"/>
      <c r="F27" s="382"/>
      <c r="G27" s="382"/>
      <c r="H27" s="382"/>
      <c r="I27" s="388"/>
      <c r="J27" s="51"/>
      <c r="K27" s="51"/>
      <c r="L27" s="396"/>
      <c r="M27" s="382"/>
      <c r="N27" s="382"/>
      <c r="O27" s="382"/>
      <c r="P27" s="433"/>
    </row>
    <row r="28" spans="1:16" x14ac:dyDescent="0.2">
      <c r="A28" s="431"/>
      <c r="B28" s="52" t="s">
        <v>84</v>
      </c>
      <c r="C28" s="382"/>
      <c r="D28" s="395" t="s">
        <v>27</v>
      </c>
      <c r="E28" s="388"/>
      <c r="F28" s="382"/>
      <c r="G28" s="382"/>
      <c r="H28" s="382"/>
      <c r="I28" s="388"/>
      <c r="J28" s="389" t="s">
        <v>175</v>
      </c>
      <c r="K28" s="389"/>
      <c r="L28" s="382"/>
      <c r="M28" s="390">
        <f>'SRM-Auswertung'!C12</f>
        <v>30</v>
      </c>
      <c r="N28" s="389" t="s">
        <v>4</v>
      </c>
      <c r="O28" s="382"/>
      <c r="P28" s="433"/>
    </row>
    <row r="29" spans="1:16" x14ac:dyDescent="0.2">
      <c r="A29" s="431"/>
      <c r="B29" s="383"/>
      <c r="C29" s="382"/>
      <c r="D29" s="52" t="s">
        <v>214</v>
      </c>
      <c r="E29" s="483">
        <f>'SRM-Auswertung'!AO12</f>
        <v>7.6899999999999995</v>
      </c>
      <c r="F29" s="389" t="s">
        <v>1</v>
      </c>
      <c r="G29" s="54"/>
      <c r="H29" s="52" t="s">
        <v>215</v>
      </c>
      <c r="I29" s="483">
        <f>'SRM-Auswertung'!AO13</f>
        <v>8.0425000000000004</v>
      </c>
      <c r="J29" s="389" t="s">
        <v>1</v>
      </c>
      <c r="K29" s="54"/>
      <c r="L29" s="382"/>
      <c r="M29" s="382"/>
      <c r="N29" s="382"/>
      <c r="O29" s="382"/>
      <c r="P29" s="433"/>
    </row>
    <row r="30" spans="1:16" ht="3.75" customHeight="1" x14ac:dyDescent="0.2">
      <c r="A30" s="431"/>
      <c r="B30" s="383"/>
      <c r="C30" s="382"/>
      <c r="D30" s="52"/>
      <c r="E30" s="414"/>
      <c r="F30" s="389"/>
      <c r="G30" s="54"/>
      <c r="H30" s="54"/>
      <c r="I30" s="52"/>
      <c r="J30" s="387"/>
      <c r="K30" s="389"/>
      <c r="L30" s="54"/>
      <c r="M30" s="54"/>
      <c r="N30" s="54"/>
      <c r="O30" s="54"/>
      <c r="P30" s="432"/>
    </row>
    <row r="31" spans="1:16" ht="15.75" customHeight="1" x14ac:dyDescent="0.3">
      <c r="A31" s="431"/>
      <c r="B31" s="383"/>
      <c r="C31" s="382"/>
      <c r="D31" s="50" t="s">
        <v>177</v>
      </c>
      <c r="E31" s="479">
        <f>'SRM-Auswertung'!AS15</f>
        <v>0.58599999999999997</v>
      </c>
      <c r="F31" s="406" t="str">
        <f>"----&gt;"</f>
        <v>----&gt;</v>
      </c>
      <c r="G31" s="54" t="str">
        <f>'SRM-Auswertung'!AR19</f>
        <v>normale HH-Abflachung</v>
      </c>
      <c r="H31" s="52"/>
      <c r="I31" s="382"/>
      <c r="J31" s="54"/>
      <c r="K31" s="54"/>
      <c r="L31" s="54"/>
      <c r="M31" s="54"/>
      <c r="N31" s="54"/>
      <c r="O31" s="54"/>
      <c r="P31" s="432"/>
    </row>
    <row r="32" spans="1:16" ht="14.25" customHeight="1" x14ac:dyDescent="0.3">
      <c r="A32" s="431"/>
      <c r="B32" s="383"/>
      <c r="C32" s="382"/>
      <c r="D32" s="50" t="s">
        <v>179</v>
      </c>
      <c r="E32" s="484">
        <f>'SRM-Auswertung'!AO20</f>
        <v>0.6</v>
      </c>
      <c r="F32" s="406" t="str">
        <f>"&lt;---&gt;"</f>
        <v>&lt;---&gt;</v>
      </c>
      <c r="G32" s="381" t="s">
        <v>35</v>
      </c>
      <c r="H32" s="54"/>
      <c r="I32" s="382" t="str">
        <f>'SRM-Auswertung'!AT20</f>
        <v>asphärische Geometrie</v>
      </c>
      <c r="J32" s="54"/>
      <c r="K32" s="382"/>
      <c r="L32" s="54"/>
      <c r="M32" s="54"/>
      <c r="N32" s="54"/>
      <c r="O32" s="382"/>
      <c r="P32" s="432"/>
    </row>
    <row r="33" spans="1:18" ht="12" customHeight="1" x14ac:dyDescent="0.2">
      <c r="A33" s="431"/>
      <c r="B33" s="383"/>
      <c r="C33" s="382"/>
      <c r="D33" s="382"/>
      <c r="E33" s="382"/>
      <c r="F33" s="398"/>
      <c r="G33" s="382"/>
      <c r="H33" s="382"/>
      <c r="I33" s="382"/>
      <c r="J33" s="382"/>
      <c r="K33" s="382"/>
      <c r="L33" s="382"/>
      <c r="M33" s="382"/>
      <c r="N33" s="382"/>
      <c r="O33" s="382"/>
      <c r="P33" s="433"/>
    </row>
    <row r="34" spans="1:18" x14ac:dyDescent="0.2">
      <c r="A34" s="431"/>
      <c r="B34" s="52" t="s">
        <v>87</v>
      </c>
      <c r="C34" s="382"/>
      <c r="D34" s="395" t="s">
        <v>88</v>
      </c>
      <c r="E34" s="382"/>
      <c r="F34" s="398"/>
      <c r="G34" s="382"/>
      <c r="H34" s="382"/>
      <c r="I34" s="398"/>
      <c r="J34" s="382"/>
      <c r="K34" s="382"/>
      <c r="L34" s="382"/>
      <c r="M34" s="382"/>
      <c r="N34" s="382"/>
      <c r="O34" s="382"/>
      <c r="P34" s="433"/>
    </row>
    <row r="35" spans="1:18" x14ac:dyDescent="0.2">
      <c r="A35" s="431"/>
      <c r="B35" s="383"/>
      <c r="C35" s="382"/>
      <c r="D35" s="52" t="s">
        <v>216</v>
      </c>
      <c r="E35" s="414">
        <f>'SRM-Auswertung'!AS12</f>
        <v>7.78</v>
      </c>
      <c r="F35" s="389" t="s">
        <v>1</v>
      </c>
      <c r="G35" s="54"/>
      <c r="H35" s="52" t="s">
        <v>217</v>
      </c>
      <c r="I35" s="483">
        <f>'SRM-Auswertung'!AS13</f>
        <v>8.0400000000000009</v>
      </c>
      <c r="J35" s="389" t="s">
        <v>1</v>
      </c>
      <c r="K35" s="54"/>
      <c r="L35" s="382"/>
      <c r="M35" s="382"/>
      <c r="N35" s="382"/>
      <c r="O35" s="382"/>
      <c r="P35" s="433"/>
    </row>
    <row r="36" spans="1:18" ht="18.75" x14ac:dyDescent="0.2">
      <c r="A36" s="431"/>
      <c r="B36" s="383"/>
      <c r="C36" s="382"/>
      <c r="D36" s="396" t="s">
        <v>178</v>
      </c>
      <c r="E36" s="479">
        <f>'SRM-Auswertung'!AS16</f>
        <v>0.505</v>
      </c>
      <c r="F36" s="406" t="str">
        <f>"----&gt;"</f>
        <v>----&gt;</v>
      </c>
      <c r="G36" s="382"/>
      <c r="H36" s="396" t="str">
        <f>'SRM-Auswertung'!AR24</f>
        <v>ro (Gleichlauf)</v>
      </c>
      <c r="I36" s="414">
        <f>'SRM-Auswertung'!AT24</f>
        <v>7.7135000000000007</v>
      </c>
      <c r="J36" s="399" t="s">
        <v>1</v>
      </c>
      <c r="K36" s="382"/>
      <c r="L36" s="382"/>
      <c r="M36" s="382"/>
      <c r="N36" s="382"/>
      <c r="O36" s="382"/>
      <c r="P36" s="433"/>
    </row>
    <row r="37" spans="1:18" ht="6" customHeight="1" x14ac:dyDescent="0.2">
      <c r="A37" s="431"/>
      <c r="B37" s="383"/>
      <c r="C37" s="382"/>
      <c r="D37" s="382"/>
      <c r="E37" s="382"/>
      <c r="F37" s="398"/>
      <c r="G37" s="382"/>
      <c r="H37" s="382"/>
      <c r="I37" s="382"/>
      <c r="J37" s="383"/>
      <c r="K37" s="383"/>
      <c r="L37" s="382"/>
      <c r="M37" s="382"/>
      <c r="N37" s="382"/>
      <c r="O37" s="382"/>
      <c r="P37" s="433"/>
    </row>
    <row r="38" spans="1:18" x14ac:dyDescent="0.2">
      <c r="A38" s="431"/>
      <c r="B38" s="383"/>
      <c r="C38" s="382"/>
      <c r="D38" s="395" t="s">
        <v>91</v>
      </c>
      <c r="E38" s="382"/>
      <c r="F38" s="398" t="str">
        <f>'SRM-Auswertung'!AP29</f>
        <v>Gleichlauf</v>
      </c>
      <c r="G38" s="382"/>
      <c r="H38" s="382"/>
      <c r="I38" s="382"/>
      <c r="J38" s="52" t="s">
        <v>92</v>
      </c>
      <c r="K38" s="52"/>
      <c r="L38" s="478">
        <f>'SRM-Auswertung'!AT29</f>
        <v>0</v>
      </c>
      <c r="M38" s="389" t="s">
        <v>1</v>
      </c>
      <c r="N38" s="382"/>
      <c r="O38" s="382"/>
      <c r="P38" s="433"/>
    </row>
    <row r="39" spans="1:18" ht="6.75" customHeight="1" x14ac:dyDescent="0.2">
      <c r="A39" s="431"/>
      <c r="B39" s="383"/>
      <c r="C39" s="382"/>
      <c r="D39" s="382"/>
      <c r="E39" s="382"/>
      <c r="F39" s="398"/>
      <c r="G39" s="382"/>
      <c r="H39" s="382"/>
      <c r="I39" s="382"/>
      <c r="J39" s="383"/>
      <c r="K39" s="383"/>
      <c r="L39" s="382"/>
      <c r="M39" s="382"/>
      <c r="N39" s="382"/>
      <c r="O39" s="382"/>
      <c r="P39" s="433"/>
    </row>
    <row r="40" spans="1:18" x14ac:dyDescent="0.2">
      <c r="A40" s="431"/>
      <c r="B40" s="383"/>
      <c r="C40" s="382"/>
      <c r="D40" s="472" t="s">
        <v>222</v>
      </c>
      <c r="E40" s="473" t="s">
        <v>3</v>
      </c>
      <c r="F40" s="474">
        <f>'SRM-Auswertung'!AO30</f>
        <v>6</v>
      </c>
      <c r="G40" s="475" t="s">
        <v>34</v>
      </c>
      <c r="H40" s="472">
        <f>'SRM-Auswertung'!AQ30</f>
        <v>7.71</v>
      </c>
      <c r="I40" s="476" t="s">
        <v>183</v>
      </c>
      <c r="J40" s="477"/>
      <c r="K40" s="475" t="s">
        <v>180</v>
      </c>
      <c r="L40" s="472">
        <f>'SRM-Auswertung'!AS30</f>
        <v>7.7</v>
      </c>
      <c r="M40" s="476" t="s">
        <v>1</v>
      </c>
      <c r="N40" s="382"/>
      <c r="O40" s="382"/>
      <c r="P40" s="433"/>
    </row>
    <row r="41" spans="1:18" x14ac:dyDescent="0.2">
      <c r="A41" s="431"/>
      <c r="B41" s="383"/>
      <c r="C41" s="382"/>
      <c r="D41" s="476" t="s">
        <v>223</v>
      </c>
      <c r="E41" s="473" t="s">
        <v>3</v>
      </c>
      <c r="F41" s="474">
        <f>'SRM-Auswertung'!AO31</f>
        <v>7</v>
      </c>
      <c r="G41" s="475" t="s">
        <v>34</v>
      </c>
      <c r="H41" s="472">
        <f>'SRM-Auswertung'!AQ31</f>
        <v>7.6435000000000004</v>
      </c>
      <c r="I41" s="476" t="s">
        <v>183</v>
      </c>
      <c r="J41" s="477"/>
      <c r="K41" s="475" t="s">
        <v>180</v>
      </c>
      <c r="L41" s="472">
        <f>'SRM-Auswertung'!AS31</f>
        <v>7.65</v>
      </c>
      <c r="M41" s="476" t="s">
        <v>1</v>
      </c>
      <c r="N41" s="382"/>
      <c r="O41" s="382"/>
      <c r="P41" s="433"/>
    </row>
    <row r="42" spans="1:18" x14ac:dyDescent="0.2">
      <c r="A42" s="431"/>
      <c r="B42" s="383"/>
      <c r="C42" s="382"/>
      <c r="D42" s="382"/>
      <c r="E42" s="400"/>
      <c r="F42" s="398"/>
      <c r="G42" s="52"/>
      <c r="H42" s="386"/>
      <c r="I42" s="389"/>
      <c r="J42" s="54"/>
      <c r="K42" s="52"/>
      <c r="L42" s="386"/>
      <c r="M42" s="389"/>
      <c r="N42" s="382"/>
      <c r="O42" s="382"/>
      <c r="P42" s="433"/>
    </row>
    <row r="43" spans="1:18" x14ac:dyDescent="0.2">
      <c r="A43" s="431"/>
      <c r="B43" s="383"/>
      <c r="C43" s="382"/>
      <c r="D43" s="384" t="s">
        <v>218</v>
      </c>
      <c r="E43" s="400"/>
      <c r="F43" s="398"/>
      <c r="G43" s="52"/>
      <c r="H43" s="386"/>
      <c r="I43" s="389"/>
      <c r="J43" s="54"/>
      <c r="K43" s="52"/>
      <c r="L43" s="386"/>
      <c r="M43" s="389"/>
      <c r="N43" s="382"/>
      <c r="O43" s="382"/>
      <c r="P43" s="433"/>
    </row>
    <row r="44" spans="1:18" x14ac:dyDescent="0.2">
      <c r="A44" s="431"/>
      <c r="B44" s="383"/>
      <c r="C44" s="382"/>
      <c r="D44" s="384"/>
      <c r="E44" s="400"/>
      <c r="F44" s="398"/>
      <c r="G44" s="52"/>
      <c r="H44" s="386"/>
      <c r="I44" s="389"/>
      <c r="J44" s="54"/>
      <c r="K44" s="52"/>
      <c r="L44" s="386"/>
      <c r="M44" s="389"/>
      <c r="N44" s="382"/>
      <c r="O44" s="382"/>
      <c r="P44" s="433"/>
    </row>
    <row r="45" spans="1:18" x14ac:dyDescent="0.2">
      <c r="A45" s="431"/>
      <c r="B45" s="383"/>
      <c r="C45" s="382"/>
      <c r="D45" s="384"/>
      <c r="E45" s="400"/>
      <c r="F45" s="398"/>
      <c r="G45" s="52"/>
      <c r="H45" s="54"/>
      <c r="I45" s="54"/>
      <c r="J45" s="410" t="s">
        <v>109</v>
      </c>
      <c r="K45" s="411">
        <f>'SRM-Auswertung'!X12</f>
        <v>10</v>
      </c>
      <c r="L45" s="412">
        <f>IF(K45&gt;90,K45-90,K45+90)</f>
        <v>100</v>
      </c>
      <c r="M45" s="54"/>
      <c r="N45" s="54"/>
      <c r="O45" s="54"/>
      <c r="P45" s="490"/>
      <c r="Q45" s="470"/>
      <c r="R45" s="471"/>
    </row>
    <row r="46" spans="1:18" x14ac:dyDescent="0.2">
      <c r="A46" s="431"/>
      <c r="B46" s="383"/>
      <c r="C46" s="382"/>
      <c r="D46" s="52" t="s">
        <v>101</v>
      </c>
      <c r="E46" s="414">
        <f>'SRM-Auswertung'!AO39</f>
        <v>2.0000000000000027</v>
      </c>
      <c r="F46" s="414">
        <f>'SRM-Auswertung'!AR39</f>
        <v>-0.40000000000000302</v>
      </c>
      <c r="G46" s="484" t="s">
        <v>98</v>
      </c>
      <c r="H46" s="491">
        <f>'SRM-Auswertung'!AU39</f>
        <v>100</v>
      </c>
      <c r="I46" s="492" t="s">
        <v>4</v>
      </c>
      <c r="J46" s="435" t="s">
        <v>97</v>
      </c>
      <c r="K46" s="413">
        <f>'SRM-Auswertung'!X13</f>
        <v>-2</v>
      </c>
      <c r="L46" s="414">
        <f>'SRM-Auswertung'!Y13</f>
        <v>-1.5</v>
      </c>
      <c r="M46" s="389"/>
      <c r="N46" s="54"/>
      <c r="O46" s="54"/>
      <c r="P46" s="490"/>
      <c r="Q46" s="470"/>
      <c r="R46" s="471"/>
    </row>
    <row r="47" spans="1:18" x14ac:dyDescent="0.2">
      <c r="A47" s="431"/>
      <c r="B47" s="383"/>
      <c r="C47" s="382"/>
      <c r="D47" s="52" t="s">
        <v>101</v>
      </c>
      <c r="E47" s="414">
        <f>'SRM-Auswertung'!AO40</f>
        <v>2</v>
      </c>
      <c r="F47" s="414">
        <f>'SRM-Auswertung'!AR40</f>
        <v>-0.5</v>
      </c>
      <c r="G47" s="484" t="s">
        <v>98</v>
      </c>
      <c r="H47" s="491">
        <f>'SRM-Auswertung'!AU40</f>
        <v>100</v>
      </c>
      <c r="I47" s="492" t="s">
        <v>4</v>
      </c>
      <c r="J47" s="435" t="str">
        <f>"+S'TL"</f>
        <v>+S'TL</v>
      </c>
      <c r="K47" s="413">
        <f>'SRM-Auswertung'!X14</f>
        <v>0.40000000000000036</v>
      </c>
      <c r="L47" s="414">
        <f>'SRM-Auswertung'!Y14</f>
        <v>-0.50000000000000266</v>
      </c>
      <c r="M47" s="389"/>
      <c r="N47" s="382"/>
      <c r="O47" s="382"/>
      <c r="P47" s="433"/>
    </row>
    <row r="48" spans="1:18" x14ac:dyDescent="0.2">
      <c r="A48" s="431"/>
      <c r="B48" s="383"/>
      <c r="C48" s="382"/>
      <c r="D48" s="52" t="s">
        <v>99</v>
      </c>
      <c r="E48" s="480">
        <f>'SRM-Auswertung'!AU38</f>
        <v>1.8000000000000012</v>
      </c>
      <c r="F48" s="481" t="s">
        <v>100</v>
      </c>
      <c r="G48" s="482"/>
      <c r="H48" s="480">
        <f>'SRM-Auswertung'!AU30</f>
        <v>1.75</v>
      </c>
      <c r="I48" s="481" t="s">
        <v>37</v>
      </c>
      <c r="J48" s="435" t="str">
        <f>"+S'KL"</f>
        <v>+S'KL</v>
      </c>
      <c r="K48" s="415">
        <f>'SRM-Auswertung'!X15</f>
        <v>1.5999999999999996</v>
      </c>
      <c r="L48" s="416">
        <f>'SRM-Auswertung'!Y15</f>
        <v>2.0000000000000027</v>
      </c>
      <c r="M48" s="389"/>
      <c r="N48" s="382"/>
      <c r="O48" s="382"/>
      <c r="P48" s="433"/>
    </row>
    <row r="49" spans="1:16" ht="13.5" thickBot="1" x14ac:dyDescent="0.25">
      <c r="A49" s="431"/>
      <c r="B49" s="383"/>
      <c r="C49" s="382"/>
      <c r="D49" s="384"/>
      <c r="E49" s="400"/>
      <c r="F49" s="398"/>
      <c r="G49" s="52"/>
      <c r="H49" s="54"/>
      <c r="I49" s="54"/>
      <c r="J49" s="417" t="str">
        <f>"=GRD"</f>
        <v>=GRD</v>
      </c>
      <c r="K49" s="418">
        <v>0</v>
      </c>
      <c r="L49" s="419">
        <v>0</v>
      </c>
      <c r="M49" s="389"/>
      <c r="N49" s="382"/>
      <c r="O49" s="382"/>
      <c r="P49" s="433"/>
    </row>
    <row r="50" spans="1:16" x14ac:dyDescent="0.2">
      <c r="A50" s="431"/>
      <c r="B50" s="383"/>
      <c r="C50" s="382"/>
      <c r="D50" s="382"/>
      <c r="E50" s="400"/>
      <c r="F50" s="398"/>
      <c r="G50" s="52"/>
      <c r="H50" s="386"/>
      <c r="I50" s="389"/>
      <c r="J50" s="54"/>
      <c r="K50" s="52"/>
      <c r="L50" s="386"/>
      <c r="M50" s="389"/>
      <c r="N50" s="382"/>
      <c r="O50" s="382"/>
      <c r="P50" s="433"/>
    </row>
    <row r="51" spans="1:16" x14ac:dyDescent="0.2">
      <c r="A51" s="431"/>
      <c r="B51" s="383"/>
      <c r="C51" s="382"/>
      <c r="D51" s="384" t="s">
        <v>219</v>
      </c>
      <c r="E51" s="52" t="str">
        <f>'SRM-Auswertung'!F19</f>
        <v>normale</v>
      </c>
      <c r="F51" s="382" t="str">
        <f>'SRM-Auswertung'!G19</f>
        <v>Lidspaltenhöhe</v>
      </c>
      <c r="G51" s="397"/>
      <c r="H51" s="389" t="str">
        <f>"---&gt;"</f>
        <v>---&gt;</v>
      </c>
      <c r="I51" s="382"/>
      <c r="J51" s="383" t="str">
        <f>'SRM-Auswertung'!E21</f>
        <v>Harte-KLØ =</v>
      </c>
      <c r="K51" s="383"/>
      <c r="L51" s="485">
        <f>'SRM-Auswertung'!F21</f>
        <v>9.1</v>
      </c>
      <c r="M51" s="389" t="s">
        <v>1</v>
      </c>
      <c r="N51" s="382"/>
      <c r="O51" s="382"/>
      <c r="P51" s="433"/>
    </row>
    <row r="52" spans="1:16" x14ac:dyDescent="0.2">
      <c r="A52" s="431"/>
      <c r="B52" s="383"/>
      <c r="C52" s="382"/>
      <c r="D52" s="382"/>
      <c r="E52" s="382"/>
      <c r="F52" s="382"/>
      <c r="G52" s="382"/>
      <c r="H52" s="382"/>
      <c r="I52" s="382"/>
      <c r="J52" s="383" t="str">
        <f>'SRM-Auswertung'!E20</f>
        <v>Weich-KLØ =</v>
      </c>
      <c r="K52" s="383"/>
      <c r="L52" s="486">
        <f>'SRM-Auswertung'!F20</f>
        <v>13.7</v>
      </c>
      <c r="M52" s="397" t="s">
        <v>1</v>
      </c>
      <c r="N52" s="382"/>
      <c r="O52" s="382"/>
      <c r="P52" s="433"/>
    </row>
    <row r="53" spans="1:16" ht="5.25" customHeight="1" x14ac:dyDescent="0.2">
      <c r="A53" s="431"/>
      <c r="B53" s="383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433"/>
    </row>
    <row r="54" spans="1:16" x14ac:dyDescent="0.2">
      <c r="A54" s="431"/>
      <c r="B54" s="52" t="s">
        <v>90</v>
      </c>
      <c r="C54" s="382"/>
      <c r="D54" s="384" t="s">
        <v>220</v>
      </c>
      <c r="E54" s="52" t="s">
        <v>182</v>
      </c>
      <c r="F54" s="478">
        <f>'SRM-Auswertung'!AO43</f>
        <v>4.9999999999990052E-3</v>
      </c>
      <c r="G54" s="389" t="s">
        <v>1</v>
      </c>
      <c r="H54" s="382" t="str">
        <f>IF(ABS(F54)&lt;0.5,"Empfehlung: rotationssymmetrische Rückfläche","Empfehlung: torische Rückfläche")</f>
        <v>Empfehlung: rotationssymmetrische Rückfläche</v>
      </c>
      <c r="I54" s="382"/>
      <c r="J54" s="382"/>
      <c r="K54" s="382"/>
      <c r="L54" s="382"/>
      <c r="M54" s="382"/>
      <c r="N54" s="382"/>
      <c r="O54" s="382"/>
      <c r="P54" s="433"/>
    </row>
    <row r="55" spans="1:16" ht="5.25" customHeight="1" x14ac:dyDescent="0.2">
      <c r="A55" s="431"/>
      <c r="B55" s="5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433"/>
    </row>
    <row r="56" spans="1:16" x14ac:dyDescent="0.2">
      <c r="A56" s="431"/>
      <c r="B56" s="52" t="s">
        <v>93</v>
      </c>
      <c r="C56" s="382"/>
      <c r="D56" s="384" t="s">
        <v>52</v>
      </c>
      <c r="E56" s="397" t="str">
        <f>'SRM-Auswertung'!AT43</f>
        <v>temporal</v>
      </c>
      <c r="F56" s="54"/>
      <c r="G56" s="382"/>
      <c r="H56" s="386" t="str">
        <f>'SRM-Auswertung'!AU43</f>
        <v xml:space="preserve"> </v>
      </c>
      <c r="I56" s="402"/>
      <c r="J56" s="382"/>
      <c r="K56" s="386"/>
      <c r="L56" s="382"/>
      <c r="M56" s="382"/>
      <c r="N56" s="382"/>
      <c r="O56" s="382"/>
      <c r="P56" s="433"/>
    </row>
    <row r="57" spans="1:16" ht="6.75" customHeight="1" x14ac:dyDescent="0.2">
      <c r="A57" s="431"/>
      <c r="B57" s="52"/>
      <c r="C57" s="382"/>
      <c r="D57" s="389"/>
      <c r="E57" s="382"/>
      <c r="F57" s="397"/>
      <c r="G57" s="382"/>
      <c r="H57" s="382"/>
      <c r="I57" s="402"/>
      <c r="J57" s="386"/>
      <c r="K57" s="386"/>
      <c r="L57" s="382"/>
      <c r="M57" s="382"/>
      <c r="N57" s="382"/>
      <c r="O57" s="382"/>
      <c r="P57" s="433"/>
    </row>
    <row r="58" spans="1:16" x14ac:dyDescent="0.2">
      <c r="A58" s="431"/>
      <c r="B58" s="52" t="s">
        <v>94</v>
      </c>
      <c r="C58" s="382"/>
      <c r="D58" s="426" t="s">
        <v>221</v>
      </c>
      <c r="E58" s="427"/>
      <c r="F58" s="428"/>
      <c r="G58" s="427"/>
      <c r="H58" s="427"/>
      <c r="I58" s="427"/>
      <c r="J58" s="427"/>
      <c r="K58" s="427"/>
      <c r="L58" s="427"/>
      <c r="M58" s="427"/>
      <c r="N58" s="382"/>
      <c r="O58" s="382"/>
      <c r="P58" s="433"/>
    </row>
    <row r="59" spans="1:16" x14ac:dyDescent="0.2">
      <c r="A59" s="431"/>
      <c r="B59" s="383"/>
      <c r="C59" s="382"/>
      <c r="D59" s="440" t="s">
        <v>3</v>
      </c>
      <c r="E59" s="441">
        <f>F40</f>
        <v>6</v>
      </c>
      <c r="F59" s="442" t="s">
        <v>95</v>
      </c>
      <c r="G59" s="443">
        <f>L40</f>
        <v>7.7</v>
      </c>
      <c r="H59" s="444" t="str">
        <f>"/"</f>
        <v>/</v>
      </c>
      <c r="I59" s="443">
        <f>'SRM-Auswertung'!AU30</f>
        <v>1.75</v>
      </c>
      <c r="J59" s="444" t="str">
        <f>"/"</f>
        <v>/</v>
      </c>
      <c r="K59" s="445">
        <f>'SRM-Auswertung'!T12</f>
        <v>9.1</v>
      </c>
      <c r="L59" s="442" t="s">
        <v>96</v>
      </c>
      <c r="M59" s="446"/>
      <c r="N59" s="382"/>
      <c r="O59" s="382"/>
      <c r="P59" s="433"/>
    </row>
    <row r="60" spans="1:16" ht="14.25" customHeight="1" x14ac:dyDescent="0.2">
      <c r="A60" s="431"/>
      <c r="B60" s="383"/>
      <c r="C60" s="382"/>
      <c r="D60" s="447" t="s">
        <v>3</v>
      </c>
      <c r="E60" s="448">
        <f>F41</f>
        <v>7</v>
      </c>
      <c r="F60" s="449" t="s">
        <v>95</v>
      </c>
      <c r="G60" s="450">
        <f>L41</f>
        <v>7.65</v>
      </c>
      <c r="H60" s="451" t="str">
        <f>"/"</f>
        <v>/</v>
      </c>
      <c r="I60" s="450">
        <f>'SRM-Auswertung'!AU31</f>
        <v>1.5</v>
      </c>
      <c r="J60" s="451" t="str">
        <f>"/"</f>
        <v>/</v>
      </c>
      <c r="K60" s="452">
        <f>'SRM-Auswertung'!T14</f>
        <v>9.1</v>
      </c>
      <c r="L60" s="449" t="s">
        <v>96</v>
      </c>
      <c r="M60" s="453"/>
      <c r="N60" s="382"/>
      <c r="O60" s="382"/>
      <c r="P60" s="433"/>
    </row>
    <row r="61" spans="1:16" ht="8.25" customHeight="1" x14ac:dyDescent="0.2">
      <c r="A61" s="431"/>
      <c r="B61" s="383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433"/>
    </row>
    <row r="62" spans="1:16" x14ac:dyDescent="0.2">
      <c r="A62" s="431"/>
      <c r="B62" s="383"/>
      <c r="C62" s="382"/>
      <c r="D62" s="425" t="s">
        <v>156</v>
      </c>
      <c r="E62" s="436"/>
      <c r="F62" s="436"/>
      <c r="G62" s="437"/>
      <c r="H62" s="436"/>
      <c r="I62" s="437"/>
      <c r="J62" s="436"/>
      <c r="K62" s="436"/>
      <c r="L62" s="436"/>
      <c r="M62" s="429"/>
      <c r="N62" s="382"/>
      <c r="O62" s="382"/>
      <c r="P62" s="433"/>
    </row>
    <row r="63" spans="1:16" ht="15.75" customHeight="1" x14ac:dyDescent="0.2">
      <c r="A63" s="431"/>
      <c r="B63" s="382"/>
      <c r="C63" s="386"/>
      <c r="D63" s="454" t="str">
        <f>'SRM-Auswertung'!M17</f>
        <v/>
      </c>
      <c r="E63" s="455" t="str">
        <f>'SRM-Auswertung'!N17</f>
        <v/>
      </c>
      <c r="F63" s="456" t="str">
        <f>'SRM-Auswertung'!O17</f>
        <v/>
      </c>
      <c r="G63" s="457" t="str">
        <f>'SRM-Auswertung'!P17</f>
        <v/>
      </c>
      <c r="H63" s="458" t="str">
        <f>'SRM-Auswertung'!R17</f>
        <v/>
      </c>
      <c r="I63" s="455" t="str">
        <f>'SRM-Auswertung'!S17</f>
        <v/>
      </c>
      <c r="J63" s="458" t="s">
        <v>54</v>
      </c>
      <c r="K63" s="459" t="str">
        <f>'SRM-Auswertung'!T17</f>
        <v/>
      </c>
      <c r="L63" s="455" t="str">
        <f>'SRM-Auswertung'!U17</f>
        <v/>
      </c>
      <c r="M63" s="460"/>
      <c r="N63" s="382"/>
      <c r="O63" s="383"/>
      <c r="P63" s="433"/>
    </row>
    <row r="64" spans="1:16" ht="8.25" customHeight="1" x14ac:dyDescent="0.2">
      <c r="A64" s="431"/>
      <c r="B64" s="382"/>
      <c r="C64" s="386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3"/>
      <c r="P64" s="433"/>
    </row>
    <row r="65" spans="1:17" x14ac:dyDescent="0.2">
      <c r="A65" s="431"/>
      <c r="B65" s="382"/>
      <c r="C65" s="386"/>
      <c r="D65" s="422" t="s">
        <v>154</v>
      </c>
      <c r="E65" s="423"/>
      <c r="F65" s="423"/>
      <c r="G65" s="424"/>
      <c r="H65" s="423"/>
      <c r="I65" s="423"/>
      <c r="J65" s="423"/>
      <c r="K65" s="423"/>
      <c r="L65" s="423"/>
      <c r="M65" s="423"/>
      <c r="N65" s="420"/>
      <c r="O65" s="420"/>
      <c r="P65" s="438"/>
      <c r="Q65" s="420"/>
    </row>
    <row r="66" spans="1:17" x14ac:dyDescent="0.2">
      <c r="A66" s="431"/>
      <c r="B66" s="382"/>
      <c r="C66" s="386"/>
      <c r="D66" s="461" t="str">
        <f>'SRM-Auswertung'!M21</f>
        <v>sph. Weichlinse</v>
      </c>
      <c r="E66" s="462" t="s">
        <v>159</v>
      </c>
      <c r="F66" s="463">
        <f>'SRM-Auswertung'!R21</f>
        <v>8.49</v>
      </c>
      <c r="G66" s="464" t="s">
        <v>151</v>
      </c>
      <c r="H66" s="465">
        <f>'SRM-Auswertung'!T21</f>
        <v>1.75</v>
      </c>
      <c r="I66" s="465" t="str">
        <f>'SRM-Auswertung'!V21</f>
        <v/>
      </c>
      <c r="J66" s="466" t="str">
        <f>'SRM-Auswertung'!W21</f>
        <v/>
      </c>
      <c r="K66" s="467" t="s">
        <v>155</v>
      </c>
      <c r="L66" s="468">
        <f>'SRM-Auswertung'!Y21</f>
        <v>13.7</v>
      </c>
      <c r="M66" s="469" t="s">
        <v>96</v>
      </c>
      <c r="N66" s="54"/>
      <c r="O66" s="421"/>
      <c r="P66" s="432"/>
    </row>
    <row r="67" spans="1:17" ht="13.5" thickBot="1" x14ac:dyDescent="0.25">
      <c r="A67" s="439"/>
      <c r="B67" s="404"/>
      <c r="C67" s="403"/>
      <c r="D67" s="404"/>
      <c r="E67" s="404"/>
      <c r="F67" s="404"/>
      <c r="G67" s="404"/>
      <c r="H67" s="404"/>
      <c r="I67" s="404"/>
      <c r="J67" s="404"/>
      <c r="K67" s="404"/>
      <c r="L67" s="404"/>
      <c r="M67" s="493" t="s">
        <v>226</v>
      </c>
      <c r="N67" s="493"/>
      <c r="O67" s="494"/>
      <c r="P67" s="496">
        <v>42034</v>
      </c>
    </row>
    <row r="68" spans="1:17" x14ac:dyDescent="0.2">
      <c r="B68" s="385"/>
      <c r="C68" s="401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405"/>
      <c r="P68" s="385"/>
    </row>
    <row r="69" spans="1:17" x14ac:dyDescent="0.2">
      <c r="B69" s="385"/>
      <c r="C69" s="401"/>
      <c r="D69" s="385"/>
      <c r="E69" s="385"/>
      <c r="F69" s="385"/>
      <c r="G69" s="385"/>
      <c r="H69" s="385"/>
      <c r="I69" s="385"/>
      <c r="J69" s="385"/>
      <c r="K69" s="385"/>
      <c r="L69" s="385"/>
      <c r="M69" s="385"/>
      <c r="N69" s="385"/>
      <c r="O69" s="405"/>
      <c r="P69" s="385"/>
    </row>
    <row r="70" spans="1:17" x14ac:dyDescent="0.2">
      <c r="B70" s="385"/>
      <c r="C70" s="385"/>
      <c r="D70" s="385"/>
      <c r="E70" s="385"/>
      <c r="F70" s="385"/>
      <c r="G70" s="385"/>
      <c r="H70" s="385"/>
      <c r="I70" s="385"/>
      <c r="J70" s="385"/>
      <c r="K70" s="385"/>
      <c r="L70" s="385"/>
      <c r="M70" s="385"/>
      <c r="N70" s="385"/>
      <c r="O70" s="405"/>
      <c r="P70" s="385"/>
    </row>
    <row r="71" spans="1:17" x14ac:dyDescent="0.2">
      <c r="O71" s="55"/>
    </row>
    <row r="72" spans="1:17" x14ac:dyDescent="0.2">
      <c r="O72" s="55"/>
    </row>
    <row r="73" spans="1:17" x14ac:dyDescent="0.2">
      <c r="O73" s="55"/>
    </row>
  </sheetData>
  <sheetProtection password="CDCE" sheet="1" objects="1" scenarios="1"/>
  <customSheetViews>
    <customSheetView guid="{B1D94C4E-3F70-49FE-A1EC-47C95B05E6DE}">
      <selection sqref="A1:M49"/>
      <pageMargins left="0.7" right="0.7" top="0.78740157499999996" bottom="0.78740157499999996" header="0.3" footer="0.3"/>
    </customSheetView>
  </customSheetViews>
  <pageMargins left="0.61" right="0.23" top="0.42" bottom="0.46" header="0.3" footer="0.3"/>
  <pageSetup paperSize="9" orientation="portrait" r:id="rId1"/>
  <ignoredErrors>
    <ignoredError sqref="I59:I6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showGridLines="0" showRowColHeaders="0" showWhiteSpace="0" zoomScale="180" zoomScaleNormal="180" zoomScaleSheetLayoutView="202" workbookViewId="0">
      <selection activeCell="B4" sqref="B4"/>
    </sheetView>
  </sheetViews>
  <sheetFormatPr baseColWidth="10" defaultRowHeight="12.75" x14ac:dyDescent="0.2"/>
  <cols>
    <col min="1" max="1" width="14.28515625" style="275" customWidth="1"/>
    <col min="2" max="2" width="8.28515625" style="275" customWidth="1"/>
    <col min="3" max="3" width="6.140625" style="275" customWidth="1"/>
    <col min="4" max="4" width="6.7109375" style="275" customWidth="1"/>
    <col min="5" max="5" width="7.42578125" style="275" customWidth="1"/>
    <col min="6" max="6" width="7.7109375" style="275" customWidth="1"/>
    <col min="7" max="7" width="2.85546875" style="275" customWidth="1"/>
    <col min="8" max="8" width="6.7109375" style="275" customWidth="1"/>
    <col min="9" max="9" width="4.28515625" style="275" customWidth="1"/>
    <col min="10" max="10" width="7" style="275" customWidth="1"/>
    <col min="11" max="11" width="2.140625" style="275" customWidth="1"/>
    <col min="12" max="12" width="7" style="275" customWidth="1"/>
    <col min="13" max="13" width="3.7109375" style="275" customWidth="1"/>
    <col min="14" max="16384" width="11.42578125" style="275"/>
  </cols>
  <sheetData>
    <row r="1" spans="1:21" ht="15" customHeight="1" x14ac:dyDescent="0.2">
      <c r="A1" s="274" t="s">
        <v>234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</row>
    <row r="2" spans="1:21" ht="12" customHeight="1" x14ac:dyDescent="0.2"/>
    <row r="3" spans="1:21" ht="17.25" customHeight="1" x14ac:dyDescent="0.2">
      <c r="A3" s="276" t="s">
        <v>70</v>
      </c>
      <c r="B3" s="277"/>
      <c r="C3" s="278"/>
      <c r="D3" s="279" t="s">
        <v>109</v>
      </c>
      <c r="E3" s="280">
        <f>IF(B7="Ast. Rectus",B6,IF(B6&gt;90,B6-90,B6+90))</f>
        <v>20</v>
      </c>
      <c r="F3" s="280">
        <f>IF(E3&gt;90,E3-90,E3+90)</f>
        <v>110</v>
      </c>
    </row>
    <row r="4" spans="1:21" ht="16.5" customHeight="1" x14ac:dyDescent="0.2">
      <c r="A4" s="281" t="s">
        <v>32</v>
      </c>
      <c r="B4" s="203">
        <v>5</v>
      </c>
      <c r="C4" s="281" t="s">
        <v>37</v>
      </c>
      <c r="D4" s="282" t="s">
        <v>97</v>
      </c>
      <c r="E4" s="283">
        <f>IF(B7="Ast. Rectus",B4*-1,(B4+B5)*-1)</f>
        <v>-5</v>
      </c>
      <c r="F4" s="284">
        <f>IF(B7="Ast. Rectus",(B4+B5)*-1,B4*-1)</f>
        <v>-4</v>
      </c>
    </row>
    <row r="5" spans="1:21" ht="18" customHeight="1" x14ac:dyDescent="0.2">
      <c r="A5" s="281" t="s">
        <v>69</v>
      </c>
      <c r="B5" s="204">
        <v>-1</v>
      </c>
      <c r="C5" s="281" t="s">
        <v>37</v>
      </c>
      <c r="D5" s="282" t="str">
        <f>"+S'TL"</f>
        <v>+S'TL</v>
      </c>
      <c r="E5" s="283">
        <f>(B9-B14)*5</f>
        <v>0.49999999999999822</v>
      </c>
      <c r="F5" s="287">
        <f>(B11-B14)*5</f>
        <v>-0.50000000000000266</v>
      </c>
    </row>
    <row r="6" spans="1:21" ht="17.25" customHeight="1" x14ac:dyDescent="0.2">
      <c r="A6" s="285" t="s">
        <v>6</v>
      </c>
      <c r="B6" s="205">
        <v>20</v>
      </c>
      <c r="C6" s="281" t="s">
        <v>4</v>
      </c>
      <c r="D6" s="282" t="str">
        <f>"+S'KL"</f>
        <v>+S'KL</v>
      </c>
      <c r="E6" s="286">
        <f>(E4+E5)*-1</f>
        <v>4.5000000000000018</v>
      </c>
      <c r="F6" s="287">
        <f>(F4+F5)*-1</f>
        <v>4.5000000000000027</v>
      </c>
    </row>
    <row r="7" spans="1:21" ht="17.25" customHeight="1" thickBot="1" x14ac:dyDescent="0.25">
      <c r="B7" s="502" t="str">
        <f>IF(B6&gt;45,IF(B6&lt;135,"Ast. Inversus","Ast. Rectus"),"Ast. Rectus")</f>
        <v>Ast. Rectus</v>
      </c>
      <c r="D7" s="288" t="str">
        <f>"=GRD"</f>
        <v>=GRD</v>
      </c>
      <c r="E7" s="289">
        <v>0</v>
      </c>
      <c r="F7" s="290">
        <v>0</v>
      </c>
    </row>
    <row r="8" spans="1:21" x14ac:dyDescent="0.2">
      <c r="A8" s="291" t="s">
        <v>135</v>
      </c>
      <c r="B8" s="292"/>
      <c r="C8" s="281"/>
    </row>
    <row r="9" spans="1:21" x14ac:dyDescent="0.2">
      <c r="A9" s="281" t="s">
        <v>5</v>
      </c>
      <c r="B9" s="203">
        <v>7.8</v>
      </c>
      <c r="C9" s="281" t="s">
        <v>1</v>
      </c>
      <c r="D9" s="293" t="s">
        <v>185</v>
      </c>
      <c r="E9" s="294"/>
      <c r="F9" s="294"/>
      <c r="G9" s="295"/>
      <c r="H9" s="296"/>
    </row>
    <row r="10" spans="1:21" x14ac:dyDescent="0.2">
      <c r="A10" s="281" t="s">
        <v>44</v>
      </c>
      <c r="B10" s="207">
        <v>20</v>
      </c>
      <c r="C10" s="281" t="s">
        <v>4</v>
      </c>
      <c r="D10" s="297" t="s">
        <v>186</v>
      </c>
      <c r="E10" s="298">
        <f>IF(E6&gt;F6,E6,F6)</f>
        <v>4.5000000000000027</v>
      </c>
      <c r="F10" s="294" t="str">
        <f>IF(E6&gt;F6,F6-E6,IF(E6&lt;F6,E6-F6,"0"))</f>
        <v>0</v>
      </c>
      <c r="G10" s="295" t="s">
        <v>98</v>
      </c>
      <c r="H10" s="299">
        <f>IF(E6&gt;F6,E3,F3)</f>
        <v>110</v>
      </c>
      <c r="I10" s="293" t="s">
        <v>4</v>
      </c>
    </row>
    <row r="11" spans="1:21" x14ac:dyDescent="0.2">
      <c r="A11" s="281" t="s">
        <v>7</v>
      </c>
      <c r="B11" s="208">
        <v>7.6</v>
      </c>
      <c r="C11" s="281" t="s">
        <v>1</v>
      </c>
      <c r="D11" s="300" t="s">
        <v>100</v>
      </c>
    </row>
    <row r="12" spans="1:21" x14ac:dyDescent="0.2">
      <c r="A12" s="281"/>
      <c r="B12" s="301"/>
      <c r="C12" s="281"/>
      <c r="D12" s="297" t="s">
        <v>186</v>
      </c>
      <c r="E12" s="298">
        <f>IF(E10&lt;0,(MROUND(-E10,0.25))*-1,MROUND(E10,0.25))</f>
        <v>4.5</v>
      </c>
      <c r="F12" s="298">
        <f>IF(F10&lt;0,(MROUND(-F10,0.25))*-1,MROUND(F10,0.25))</f>
        <v>0</v>
      </c>
      <c r="G12" s="295" t="s">
        <v>98</v>
      </c>
      <c r="H12" s="299">
        <f>H10</f>
        <v>110</v>
      </c>
      <c r="I12" s="293" t="s">
        <v>4</v>
      </c>
    </row>
    <row r="13" spans="1:21" x14ac:dyDescent="0.2">
      <c r="A13" s="276" t="s">
        <v>187</v>
      </c>
      <c r="B13" s="292"/>
      <c r="C13" s="281"/>
    </row>
    <row r="14" spans="1:21" x14ac:dyDescent="0.2">
      <c r="A14" s="281" t="s">
        <v>89</v>
      </c>
      <c r="B14" s="267">
        <v>7.7</v>
      </c>
      <c r="C14" s="281" t="s">
        <v>1</v>
      </c>
      <c r="D14" s="302" t="s">
        <v>99</v>
      </c>
      <c r="E14" s="303">
        <f>E10+F10/2</f>
        <v>4.5000000000000027</v>
      </c>
      <c r="F14" s="304" t="s">
        <v>100</v>
      </c>
      <c r="G14" s="305"/>
      <c r="H14" s="303">
        <f>IF(E14&lt;0,MROUND(-E14,0.25)*(-1),MROUND(E14,0.25))</f>
        <v>4.5</v>
      </c>
      <c r="I14" s="306" t="s">
        <v>37</v>
      </c>
    </row>
  </sheetData>
  <sheetProtection password="CDCE" sheet="1" objects="1" scenarios="1" selectLockedCells="1"/>
  <dataValidations count="6">
    <dataValidation type="decimal" allowBlank="1" showInputMessage="1" showErrorMessage="1" error="Minus-Zylinder eingeben_x000a_zwischen 0 und -10,00 dpt." sqref="B5">
      <formula1>-10</formula1>
      <formula2>0</formula2>
    </dataValidation>
    <dataValidation type="decimal" errorStyle="warning" allowBlank="1" showInputMessage="1" showErrorMessage="1" errorTitle="ungültig !!" sqref="B4">
      <formula1>-35</formula1>
      <formula2>35</formula2>
    </dataValidation>
    <dataValidation type="whole" allowBlank="1" showInputMessage="1" showErrorMessage="1" error="Achsen zwischen 0° und 180° eingeben._x000a_" sqref="B6">
      <formula1>0</formula1>
      <formula2>180</formula2>
    </dataValidation>
    <dataValidation type="decimal" allowBlank="1" showInputMessage="1" showErrorMessage="1" error="Zentralradien zwischen 4 und 12 mm einegeben." sqref="B9 B11">
      <formula1>4</formula1>
      <formula2>12</formula2>
    </dataValidation>
    <dataValidation type="whole" allowBlank="1" showInputMessage="1" showErrorMessage="1" error="Horizontale Achseingabe zwischen 0° und 45° oder zwischen 135° und 180° eingeben." prompt="Achse des horizontalen Zentralradius eingeben._x000a_D.h. zwischen 0° und 45° oder 135° bis 180°._x000a__x000a_Achse darf nicht mehr als +/-20° von den HS-Richtungen der Refraktion abweichen. Wenn ja, dann ist das Ergebnis zu ungenau._x000a__x000a_" sqref="B10">
      <formula1>0</formula1>
      <formula2>180</formula2>
    </dataValidation>
    <dataValidation type="decimal" allowBlank="1" showInputMessage="1" showErrorMessage="1" error="Eingabe zwischen 6,0 und 10,0 mm erlaubt." sqref="B14">
      <formula1>6</formula1>
      <formula2>10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showGridLines="0" showRowColHeaders="0" zoomScale="175" zoomScaleNormal="175" workbookViewId="0">
      <selection activeCell="B4" sqref="B4"/>
    </sheetView>
  </sheetViews>
  <sheetFormatPr baseColWidth="10" defaultRowHeight="12.75" x14ac:dyDescent="0.2"/>
  <cols>
    <col min="1" max="1" width="14.28515625" style="241" customWidth="1"/>
    <col min="2" max="2" width="8.28515625" style="241" customWidth="1"/>
    <col min="3" max="3" width="6.140625" style="241" customWidth="1"/>
    <col min="4" max="4" width="6.7109375" style="241" customWidth="1"/>
    <col min="5" max="5" width="7.42578125" style="241" customWidth="1"/>
    <col min="6" max="6" width="7.28515625" style="241" customWidth="1"/>
    <col min="7" max="7" width="2.85546875" style="241" customWidth="1"/>
    <col min="8" max="8" width="5" style="241" customWidth="1"/>
    <col min="9" max="9" width="1.5703125" style="241" customWidth="1"/>
    <col min="10" max="10" width="7" style="241" customWidth="1"/>
    <col min="11" max="11" width="2.140625" style="241" customWidth="1"/>
    <col min="12" max="12" width="7" style="241" customWidth="1"/>
    <col min="13" max="13" width="3.7109375" style="241" customWidth="1"/>
    <col min="14" max="16384" width="11.42578125" style="241"/>
  </cols>
  <sheetData>
    <row r="1" spans="1:21" ht="15" customHeight="1" x14ac:dyDescent="0.2">
      <c r="A1" s="240" t="s">
        <v>191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ht="12" customHeight="1" x14ac:dyDescent="0.2"/>
    <row r="3" spans="1:21" ht="17.25" customHeight="1" x14ac:dyDescent="0.2">
      <c r="A3" s="242" t="s">
        <v>70</v>
      </c>
      <c r="B3" s="243"/>
      <c r="C3" s="244"/>
      <c r="D3" s="245" t="s">
        <v>109</v>
      </c>
      <c r="E3" s="246">
        <f>IF(B7="Ast. Rectus",B6,IF(B6&gt;90,B6-90,B6+90))</f>
        <v>5</v>
      </c>
      <c r="F3" s="247">
        <f>IF(E3&gt;90,E3-90,E3+90)</f>
        <v>95</v>
      </c>
    </row>
    <row r="4" spans="1:21" ht="16.5" customHeight="1" x14ac:dyDescent="0.2">
      <c r="A4" s="248" t="s">
        <v>32</v>
      </c>
      <c r="B4" s="203">
        <v>0</v>
      </c>
      <c r="C4" s="248" t="s">
        <v>37</v>
      </c>
      <c r="D4" s="249" t="s">
        <v>97</v>
      </c>
      <c r="E4" s="250">
        <f>IF(B7="Ast. Rectus",B4*-1,(B4+B5)*-1)</f>
        <v>1.25</v>
      </c>
      <c r="F4" s="251">
        <f>IF(B7="Ast. Rectus",(B4+B5)*-1,B4*-1)</f>
        <v>0</v>
      </c>
    </row>
    <row r="5" spans="1:21" ht="18" customHeight="1" x14ac:dyDescent="0.2">
      <c r="A5" s="248" t="s">
        <v>69</v>
      </c>
      <c r="B5" s="204">
        <v>-1.25</v>
      </c>
      <c r="C5" s="248" t="s">
        <v>37</v>
      </c>
      <c r="D5" s="249" t="str">
        <f>"+S'TL"</f>
        <v>+S'TL</v>
      </c>
      <c r="E5" s="250">
        <f>(B9-B14)*5</f>
        <v>-0.80000000000000071</v>
      </c>
      <c r="F5" s="254">
        <f>(B11-B14)*5</f>
        <v>0.54999999999999716</v>
      </c>
    </row>
    <row r="6" spans="1:21" ht="17.25" customHeight="1" x14ac:dyDescent="0.2">
      <c r="A6" s="252" t="s">
        <v>6</v>
      </c>
      <c r="B6" s="205">
        <v>95</v>
      </c>
      <c r="C6" s="248" t="s">
        <v>4</v>
      </c>
      <c r="D6" s="249" t="str">
        <f>"+S'KL"</f>
        <v>+S'KL</v>
      </c>
      <c r="E6" s="253">
        <f>B15</f>
        <v>0</v>
      </c>
      <c r="F6" s="254">
        <f>B15</f>
        <v>0</v>
      </c>
    </row>
    <row r="7" spans="1:21" ht="17.25" customHeight="1" thickBot="1" x14ac:dyDescent="0.25">
      <c r="B7" s="503" t="str">
        <f>IF(B6&gt;45,IF(B6&lt;135,"Ast. Inversus","Ast. Rectus"),"Ast. Rectus")</f>
        <v>Ast. Inversus</v>
      </c>
      <c r="D7" s="255" t="str">
        <f>"=GRD"</f>
        <v>=GRD</v>
      </c>
      <c r="E7" s="268">
        <f>SUM(E4:E6)</f>
        <v>0.44999999999999929</v>
      </c>
      <c r="F7" s="268">
        <f>SUM(F4:F6)</f>
        <v>0.54999999999999716</v>
      </c>
    </row>
    <row r="8" spans="1:21" x14ac:dyDescent="0.2">
      <c r="A8" s="256" t="s">
        <v>135</v>
      </c>
      <c r="B8" s="257"/>
      <c r="C8" s="248"/>
    </row>
    <row r="9" spans="1:21" x14ac:dyDescent="0.2">
      <c r="A9" s="248" t="s">
        <v>5</v>
      </c>
      <c r="B9" s="203">
        <v>7.54</v>
      </c>
      <c r="C9" s="248" t="s">
        <v>1</v>
      </c>
      <c r="D9" s="261" t="s">
        <v>189</v>
      </c>
      <c r="E9" s="258">
        <f>E7</f>
        <v>0.44999999999999929</v>
      </c>
      <c r="F9" s="258">
        <f>(E7-F7)*-1</f>
        <v>9.9999999999997868E-2</v>
      </c>
      <c r="G9" s="259" t="s">
        <v>98</v>
      </c>
      <c r="H9" s="260">
        <f>E3</f>
        <v>5</v>
      </c>
      <c r="I9" s="264" t="s">
        <v>4</v>
      </c>
    </row>
    <row r="10" spans="1:21" x14ac:dyDescent="0.2">
      <c r="A10" s="248" t="s">
        <v>44</v>
      </c>
      <c r="B10" s="207">
        <v>5</v>
      </c>
      <c r="C10" s="248" t="s">
        <v>4</v>
      </c>
      <c r="D10" s="261" t="s">
        <v>190</v>
      </c>
      <c r="E10" s="262">
        <f>E9*-1</f>
        <v>-0.44999999999999929</v>
      </c>
      <c r="F10" s="262">
        <f>F9*-1</f>
        <v>-9.9999999999997868E-2</v>
      </c>
      <c r="G10" s="259" t="s">
        <v>98</v>
      </c>
      <c r="H10" s="263">
        <f>H9</f>
        <v>5</v>
      </c>
      <c r="I10" s="264" t="s">
        <v>4</v>
      </c>
    </row>
    <row r="11" spans="1:21" x14ac:dyDescent="0.2">
      <c r="A11" s="248" t="s">
        <v>7</v>
      </c>
      <c r="B11" s="208">
        <v>7.81</v>
      </c>
      <c r="C11" s="248" t="s">
        <v>1</v>
      </c>
    </row>
    <row r="12" spans="1:21" x14ac:dyDescent="0.2">
      <c r="A12" s="248"/>
      <c r="B12" s="265"/>
      <c r="C12" s="248"/>
      <c r="D12" s="266" t="s">
        <v>100</v>
      </c>
    </row>
    <row r="13" spans="1:21" x14ac:dyDescent="0.2">
      <c r="A13" s="242" t="s">
        <v>187</v>
      </c>
      <c r="B13" s="257"/>
      <c r="C13" s="248"/>
      <c r="D13" s="269" t="s">
        <v>190</v>
      </c>
      <c r="E13" s="270">
        <f>IF(E10&lt;0,(MROUND(-E10,0.25))*-1,MROUND(E10,0.25))</f>
        <v>-0.5</v>
      </c>
      <c r="F13" s="270">
        <f>IF(F10&lt;0,(MROUND(-F10,0.25))*-1,MROUND(F10,0.25))</f>
        <v>0</v>
      </c>
      <c r="G13" s="271" t="s">
        <v>98</v>
      </c>
      <c r="H13" s="272">
        <f>H10</f>
        <v>5</v>
      </c>
      <c r="I13" s="273" t="s">
        <v>4</v>
      </c>
    </row>
    <row r="14" spans="1:21" x14ac:dyDescent="0.2">
      <c r="A14" s="248" t="s">
        <v>89</v>
      </c>
      <c r="B14" s="267">
        <v>7.7</v>
      </c>
      <c r="C14" s="248" t="s">
        <v>1</v>
      </c>
    </row>
    <row r="15" spans="1:21" x14ac:dyDescent="0.2">
      <c r="A15" s="248" t="s">
        <v>188</v>
      </c>
      <c r="B15" s="267">
        <v>0</v>
      </c>
      <c r="C15" s="248" t="s">
        <v>37</v>
      </c>
    </row>
  </sheetData>
  <sheetProtection password="CDCE" sheet="1" objects="1" scenarios="1" selectLockedCells="1"/>
  <dataValidations count="6">
    <dataValidation type="decimal" allowBlank="1" showInputMessage="1" showErrorMessage="1" error="Eingabe zwischen 6,0 und 10,0 mm erlaubt." sqref="B14">
      <formula1>6</formula1>
      <formula2>10</formula2>
    </dataValidation>
    <dataValidation type="whole" allowBlank="1" showInputMessage="1" showErrorMessage="1" error="Horizontale Achseingabe zwischen 0° und 45° oder zwischen 135° und 180° eingeben." prompt="Achse des horizontalen Zentralradius eingeben._x000a_D.h. zwischen 0° und 45° oder 135° bis 180°._x000a__x000a_Achse darf nicht mehr als +/-20° von den HS-Richtungen der Refraktion abweichen. Wenn ja, dann ist das Ergebnis zu ungenau." sqref="B10">
      <formula1>0</formula1>
      <formula2>180</formula2>
    </dataValidation>
    <dataValidation type="decimal" allowBlank="1" showInputMessage="1" showErrorMessage="1" error="Zentralradien zwischen 4 und 12 mm einegeben." sqref="B9 B11">
      <formula1>4</formula1>
      <formula2>12</formula2>
    </dataValidation>
    <dataValidation type="whole" allowBlank="1" showInputMessage="1" showErrorMessage="1" error="Achsen zwischen 0° und 180° eingeben._x000a_" sqref="B6">
      <formula1>0</formula1>
      <formula2>180</formula2>
    </dataValidation>
    <dataValidation type="decimal" errorStyle="warning" allowBlank="1" showInputMessage="1" showErrorMessage="1" errorTitle="ungültig !!" sqref="B4 B15">
      <formula1>-35</formula1>
      <formula2>35</formula2>
    </dataValidation>
    <dataValidation type="decimal" allowBlank="1" showInputMessage="1" showErrorMessage="1" error="Minus-Zylinder eingeben_x000a_zwischen 0 und -10,00 dpt." sqref="B5">
      <formula1>-10</formula1>
      <formula2>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R21"/>
  <sheetViews>
    <sheetView showGridLines="0" showRowColHeaders="0" zoomScale="150" zoomScaleNormal="150" workbookViewId="0">
      <selection activeCell="D9" sqref="D9"/>
    </sheetView>
  </sheetViews>
  <sheetFormatPr baseColWidth="10" defaultRowHeight="12.75" x14ac:dyDescent="0.2"/>
  <cols>
    <col min="1" max="1" width="4.42578125" style="8" customWidth="1"/>
    <col min="2" max="2" width="22.85546875" style="11" customWidth="1"/>
    <col min="3" max="3" width="3.85546875" style="8" customWidth="1"/>
    <col min="4" max="4" width="8" style="8" customWidth="1"/>
    <col min="5" max="5" width="7.5703125" style="8" customWidth="1"/>
    <col min="6" max="6" width="5" style="8" customWidth="1"/>
    <col min="7" max="7" width="4.42578125" style="8" customWidth="1"/>
    <col min="8" max="8" width="7.140625" style="8" customWidth="1"/>
    <col min="9" max="9" width="4.140625" style="8" customWidth="1"/>
    <col min="10" max="10" width="5.140625" style="8" customWidth="1"/>
    <col min="11" max="11" width="4.85546875" style="8" customWidth="1"/>
    <col min="12" max="12" width="8.42578125" style="8" customWidth="1"/>
    <col min="13" max="13" width="7.28515625" style="8" customWidth="1"/>
    <col min="14" max="14" width="3.140625" style="8" customWidth="1"/>
    <col min="15" max="16384" width="11.42578125" style="8"/>
  </cols>
  <sheetData>
    <row r="1" spans="1:18" ht="16.5" customHeight="1" x14ac:dyDescent="0.2">
      <c r="A1" s="21"/>
      <c r="B1" s="27" t="s">
        <v>108</v>
      </c>
      <c r="C1" s="22"/>
      <c r="D1" s="23"/>
      <c r="E1" s="23"/>
      <c r="F1" s="24"/>
      <c r="G1" s="24"/>
      <c r="H1" s="24"/>
      <c r="I1" s="24"/>
      <c r="J1" s="24"/>
      <c r="K1" s="25"/>
      <c r="L1" s="26"/>
      <c r="M1" s="21"/>
      <c r="N1" s="21"/>
      <c r="O1" s="21"/>
      <c r="P1" s="21"/>
      <c r="Q1" s="21"/>
      <c r="R1" s="21"/>
    </row>
    <row r="2" spans="1:18" x14ac:dyDescent="0.2">
      <c r="B2" s="2"/>
      <c r="C2" s="2"/>
      <c r="D2" s="3"/>
      <c r="E2" s="3"/>
      <c r="F2" s="4"/>
      <c r="G2" s="4"/>
      <c r="H2" s="4"/>
      <c r="I2" s="4"/>
      <c r="J2" s="5"/>
      <c r="K2" s="6"/>
    </row>
    <row r="3" spans="1:18" x14ac:dyDescent="0.2">
      <c r="B3" s="17" t="s">
        <v>70</v>
      </c>
      <c r="E3" s="3"/>
      <c r="F3" s="4"/>
      <c r="G3" s="4"/>
      <c r="H3" s="4"/>
      <c r="I3" s="4"/>
      <c r="L3" s="17" t="s">
        <v>102</v>
      </c>
    </row>
    <row r="4" spans="1:18" x14ac:dyDescent="0.2">
      <c r="B4" s="15" t="s">
        <v>50</v>
      </c>
      <c r="C4" s="2"/>
      <c r="D4" s="10">
        <v>8.75</v>
      </c>
      <c r="E4" s="12" t="s">
        <v>37</v>
      </c>
      <c r="F4" s="4"/>
      <c r="G4" s="4"/>
      <c r="H4" s="4"/>
      <c r="I4" s="4"/>
      <c r="L4" s="15" t="s">
        <v>50</v>
      </c>
      <c r="M4" s="28">
        <f>ROUND(D4/(1-(D7/1000)*D4),2)</f>
        <v>9.9700000000000006</v>
      </c>
      <c r="N4" s="12" t="s">
        <v>37</v>
      </c>
    </row>
    <row r="5" spans="1:18" x14ac:dyDescent="0.2">
      <c r="B5" s="15" t="s">
        <v>42</v>
      </c>
      <c r="C5" s="2"/>
      <c r="D5" s="10">
        <v>-2.5</v>
      </c>
      <c r="E5" s="12" t="s">
        <v>37</v>
      </c>
      <c r="F5" s="4"/>
      <c r="G5" s="4"/>
      <c r="H5" s="4"/>
      <c r="I5" s="4"/>
      <c r="L5" s="15" t="s">
        <v>42</v>
      </c>
      <c r="M5" s="28">
        <f>ROUND((D4+D5)/(1-(D7/1000)*(D4+D5)),2)-M4</f>
        <v>-3.120000000000001</v>
      </c>
      <c r="N5" s="12" t="s">
        <v>37</v>
      </c>
    </row>
    <row r="6" spans="1:18" x14ac:dyDescent="0.2">
      <c r="B6" s="15" t="s">
        <v>98</v>
      </c>
      <c r="C6" s="2"/>
      <c r="D6" s="9">
        <v>160</v>
      </c>
      <c r="E6" s="14" t="s">
        <v>4</v>
      </c>
      <c r="L6" s="15" t="s">
        <v>98</v>
      </c>
      <c r="M6" s="28">
        <f>D6</f>
        <v>160</v>
      </c>
      <c r="N6" s="14" t="s">
        <v>4</v>
      </c>
    </row>
    <row r="7" spans="1:18" x14ac:dyDescent="0.2">
      <c r="B7" s="15" t="s">
        <v>40</v>
      </c>
      <c r="D7" s="9">
        <v>14</v>
      </c>
      <c r="L7" s="15" t="s">
        <v>40</v>
      </c>
      <c r="M7" s="28">
        <v>0</v>
      </c>
      <c r="N7" s="12" t="s">
        <v>1</v>
      </c>
    </row>
    <row r="8" spans="1:18" x14ac:dyDescent="0.2">
      <c r="B8" s="13" t="s">
        <v>105</v>
      </c>
      <c r="L8" s="17" t="str">
        <f>IF(D10=0,"individuell torische Weichlinse","standardtorische Weichlinse")</f>
        <v>individuell torische Weichlinse</v>
      </c>
      <c r="M8" s="28"/>
      <c r="P8" s="4"/>
      <c r="Q8" s="5"/>
      <c r="R8" s="6"/>
    </row>
    <row r="9" spans="1:18" x14ac:dyDescent="0.2">
      <c r="B9" s="15" t="s">
        <v>50</v>
      </c>
      <c r="D9" s="10">
        <v>0</v>
      </c>
      <c r="E9" s="12" t="s">
        <v>37</v>
      </c>
      <c r="L9" s="15" t="s">
        <v>50</v>
      </c>
      <c r="M9" s="29">
        <f>IF(D9+M13&gt;=0,MROUND(D9+M13,0.25),MROUND((D9+M13)*-1,0.25)*-1)</f>
        <v>0</v>
      </c>
      <c r="N9" s="12" t="s">
        <v>37</v>
      </c>
      <c r="P9" s="4"/>
      <c r="Q9" s="5"/>
      <c r="R9" s="6"/>
    </row>
    <row r="10" spans="1:18" x14ac:dyDescent="0.2">
      <c r="B10" s="15" t="s">
        <v>42</v>
      </c>
      <c r="D10" s="10">
        <v>0</v>
      </c>
      <c r="E10" s="12" t="s">
        <v>37</v>
      </c>
      <c r="L10" s="15" t="s">
        <v>42</v>
      </c>
      <c r="M10" s="29">
        <f>IF(D10&lt;&gt;0,D10,IF(M14&gt;=0,MROUND(M14,0.25),MROUND(M14*-1,0.25)*-1))</f>
        <v>0</v>
      </c>
      <c r="N10" s="12" t="s">
        <v>37</v>
      </c>
      <c r="P10" s="4"/>
      <c r="Q10" s="5"/>
      <c r="R10" s="6"/>
    </row>
    <row r="11" spans="1:18" x14ac:dyDescent="0.2">
      <c r="B11" s="15" t="s">
        <v>98</v>
      </c>
      <c r="D11" s="9">
        <v>0</v>
      </c>
      <c r="E11" s="14" t="s">
        <v>4</v>
      </c>
      <c r="L11" s="15" t="s">
        <v>98</v>
      </c>
      <c r="M11" s="28">
        <f>IF(D10&lt;&gt;0,IF(D6+C18&gt;=0,MROUND(D6+C18,10),MROUND(D6+C18+180,10)),IF(D15+C18&gt;=0,D15+C18,D15+C18+180))</f>
        <v>5</v>
      </c>
      <c r="N11" s="14" t="s">
        <v>4</v>
      </c>
      <c r="O11" s="19" t="str">
        <f>IF(D10=0,IF(C18&gt;0,"(ÜR-Achse + Inklination)","(ÜR-Achse - Inklination)"),IF(C18&gt;0,"(Refra-Achse + Inklination)","(Refra-Achse - Inklination)"))</f>
        <v>(ÜR-Achse + Inklination)</v>
      </c>
      <c r="P11" s="4"/>
      <c r="Q11" s="5"/>
      <c r="R11" s="6"/>
    </row>
    <row r="12" spans="1:18" x14ac:dyDescent="0.2">
      <c r="B12" s="13" t="s">
        <v>106</v>
      </c>
      <c r="C12" s="7"/>
      <c r="E12" s="12"/>
      <c r="F12" s="4"/>
      <c r="G12" s="4"/>
      <c r="H12" s="4"/>
      <c r="I12" s="4"/>
      <c r="L12" s="17" t="s">
        <v>107</v>
      </c>
      <c r="M12" s="30"/>
      <c r="N12" s="2"/>
    </row>
    <row r="13" spans="1:18" x14ac:dyDescent="0.2">
      <c r="B13" s="15" t="s">
        <v>50</v>
      </c>
      <c r="D13" s="10">
        <v>0</v>
      </c>
      <c r="E13" s="12" t="s">
        <v>37</v>
      </c>
      <c r="L13" s="15" t="s">
        <v>50</v>
      </c>
      <c r="M13" s="29">
        <f>ROUND(D13/(1-(D16/1000)*D13),2)</f>
        <v>0</v>
      </c>
      <c r="N13" s="12" t="s">
        <v>37</v>
      </c>
    </row>
    <row r="14" spans="1:18" x14ac:dyDescent="0.2">
      <c r="B14" s="15" t="s">
        <v>42</v>
      </c>
      <c r="C14" s="7"/>
      <c r="D14" s="10">
        <v>0</v>
      </c>
      <c r="E14" s="12" t="s">
        <v>37</v>
      </c>
      <c r="F14" s="18" t="str">
        <f>IF(D10&lt;&gt;0,IF(D14&lt;&gt;0,"&lt;- Zylinder  muss 0 sein ",""),"")</f>
        <v/>
      </c>
      <c r="G14" s="18"/>
      <c r="H14" s="18"/>
      <c r="I14" s="18"/>
      <c r="L14" s="15" t="s">
        <v>42</v>
      </c>
      <c r="M14" s="29">
        <f>ROUND((D13+D14)/(1-(D16/1000)*(D13+D14)),2)-M13</f>
        <v>0</v>
      </c>
      <c r="N14" s="12" t="s">
        <v>37</v>
      </c>
    </row>
    <row r="15" spans="1:18" x14ac:dyDescent="0.2">
      <c r="B15" s="15" t="s">
        <v>98</v>
      </c>
      <c r="D15" s="9">
        <v>0</v>
      </c>
      <c r="E15" s="12" t="s">
        <v>4</v>
      </c>
      <c r="F15" s="18" t="str">
        <f>IF(D10&lt;&gt;0,IF(D15&lt;&gt;0,"&lt;- Achse  muss 0 sein",""),"")</f>
        <v/>
      </c>
      <c r="G15" s="18"/>
      <c r="H15" s="18"/>
      <c r="I15" s="18"/>
      <c r="L15" s="15" t="s">
        <v>98</v>
      </c>
      <c r="M15" s="28">
        <f>D15</f>
        <v>0</v>
      </c>
      <c r="N15" s="14" t="s">
        <v>4</v>
      </c>
    </row>
    <row r="16" spans="1:18" x14ac:dyDescent="0.2">
      <c r="B16" s="15" t="s">
        <v>40</v>
      </c>
      <c r="D16" s="9">
        <v>0</v>
      </c>
      <c r="E16" s="12" t="s">
        <v>1</v>
      </c>
    </row>
    <row r="17" spans="2:12" x14ac:dyDescent="0.2">
      <c r="B17" s="7"/>
      <c r="E17" s="12"/>
    </row>
    <row r="18" spans="2:12" x14ac:dyDescent="0.2">
      <c r="B18" s="13" t="s">
        <v>103</v>
      </c>
      <c r="C18" s="20">
        <f>IF(D18&gt;220,270-D18,IF(D18&lt;90,0-D18,180-D18))</f>
        <v>5</v>
      </c>
      <c r="D18" s="9">
        <v>265</v>
      </c>
      <c r="E18" s="12" t="s">
        <v>4</v>
      </c>
      <c r="H18" s="13" t="s">
        <v>104</v>
      </c>
      <c r="I18" s="16">
        <f>IF(C18&gt;=0,C18,C18*-1)</f>
        <v>5</v>
      </c>
      <c r="J18" s="8" t="str">
        <f>IF(C18&lt;0,"° gegen Uhrzeigersinn -&gt; Inklination subtrahieren","° im Uhrzeigersinn -&gt; Inklination addieren")</f>
        <v>° im Uhrzeigersinn -&gt; Inklination addieren</v>
      </c>
    </row>
    <row r="19" spans="2:12" x14ac:dyDescent="0.2">
      <c r="B19" s="8"/>
    </row>
    <row r="20" spans="2:12" ht="13.5" thickBot="1" x14ac:dyDescent="0.25"/>
    <row r="21" spans="2:12" ht="13.5" thickBot="1" x14ac:dyDescent="0.25">
      <c r="B21" s="32"/>
      <c r="C21" s="33" t="str">
        <f>L8</f>
        <v>individuell torische Weichlinse</v>
      </c>
      <c r="D21" s="34" t="s">
        <v>110</v>
      </c>
      <c r="E21" s="35">
        <f>M9</f>
        <v>0</v>
      </c>
      <c r="F21" s="34" t="s">
        <v>37</v>
      </c>
      <c r="G21" s="34" t="s">
        <v>42</v>
      </c>
      <c r="H21" s="36">
        <f>M10</f>
        <v>0</v>
      </c>
      <c r="I21" s="33" t="s">
        <v>98</v>
      </c>
      <c r="J21" s="34">
        <f>M11</f>
        <v>5</v>
      </c>
      <c r="K21" s="37" t="s">
        <v>4</v>
      </c>
      <c r="L21" s="19" t="str">
        <f>IF(D10=0,IF(C18&gt;0,"(ÜR-Achse + Inklination)","(ÜR-Achse - Inklination)"),IF(C18&gt;0,"(Refra-Achse + Inklination)","(Refra-Achse - Inklination)"))</f>
        <v>(ÜR-Achse + Inklination)</v>
      </c>
    </row>
  </sheetData>
  <sheetProtection password="CDCE" sheet="1" objects="1" scenarios="1" selectLockedCells="1"/>
  <dataConsolidate/>
  <dataValidations disablePrompts="1" count="2">
    <dataValidation errorStyle="warning" allowBlank="1" showInputMessage="1" showErrorMessage="1" promptTitle="Erlaubte Gradzahlen" prompt="zwischen 150° und 30°_x000a_und 240° und 300°" sqref="D18"/>
    <dataValidation operator="equal" allowBlank="1" showInputMessage="1" showErrorMessage="1" errorTitle="Standardtorische Messlinse" error="keine Zylindereingabe bei der Überrefraktion erlaubt._x000a_Bitte 0 dpt eintragen._x000a_" sqref="D14"/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R26"/>
  <sheetViews>
    <sheetView showRowColHeaders="0" zoomScale="160" zoomScaleNormal="160" workbookViewId="0">
      <selection activeCell="D4" sqref="D4"/>
    </sheetView>
  </sheetViews>
  <sheetFormatPr baseColWidth="10" defaultRowHeight="12.75" x14ac:dyDescent="0.2"/>
  <cols>
    <col min="1" max="1" width="4.42578125" style="8" customWidth="1"/>
    <col min="2" max="2" width="22.85546875" style="11" customWidth="1"/>
    <col min="3" max="3" width="3.85546875" style="8" customWidth="1"/>
    <col min="4" max="4" width="8" style="8" customWidth="1"/>
    <col min="5" max="5" width="7.5703125" style="8" customWidth="1"/>
    <col min="6" max="6" width="5" style="8" customWidth="1"/>
    <col min="7" max="7" width="4.42578125" style="8" customWidth="1"/>
    <col min="8" max="9" width="4.140625" style="8" customWidth="1"/>
    <col min="10" max="10" width="2.42578125" style="8" customWidth="1"/>
    <col min="11" max="11" width="2.28515625" style="8" customWidth="1"/>
    <col min="12" max="12" width="8.42578125" style="8" customWidth="1"/>
    <col min="13" max="13" width="4.7109375" style="8" customWidth="1"/>
    <col min="14" max="14" width="3.140625" style="8" customWidth="1"/>
    <col min="15" max="16384" width="11.42578125" style="8"/>
  </cols>
  <sheetData>
    <row r="1" spans="1:18" ht="16.5" customHeight="1" x14ac:dyDescent="0.2">
      <c r="A1" s="21"/>
      <c r="B1" s="27" t="s">
        <v>123</v>
      </c>
      <c r="C1" s="22"/>
      <c r="D1" s="23"/>
      <c r="E1" s="23"/>
      <c r="F1" s="24"/>
      <c r="G1" s="24"/>
      <c r="H1" s="24"/>
      <c r="I1" s="24"/>
      <c r="J1" s="24"/>
      <c r="K1" s="25"/>
      <c r="L1" s="26"/>
      <c r="M1" s="21"/>
      <c r="N1" s="21"/>
      <c r="O1" s="21"/>
      <c r="P1" s="21"/>
      <c r="Q1" s="21"/>
      <c r="R1" s="21"/>
    </row>
    <row r="2" spans="1:18" x14ac:dyDescent="0.2">
      <c r="B2" s="2"/>
      <c r="C2" s="2"/>
      <c r="D2" s="3"/>
      <c r="E2" s="3"/>
      <c r="F2" s="4"/>
      <c r="G2" s="4"/>
      <c r="H2" s="4"/>
      <c r="I2" s="4"/>
      <c r="J2" s="5"/>
      <c r="K2" s="6"/>
    </row>
    <row r="3" spans="1:18" x14ac:dyDescent="0.2">
      <c r="B3" s="17" t="s">
        <v>116</v>
      </c>
      <c r="E3" s="3"/>
      <c r="F3" s="4"/>
      <c r="G3" s="4"/>
      <c r="H3" s="2" t="s">
        <v>118</v>
      </c>
      <c r="I3" s="4">
        <f>D11</f>
        <v>5</v>
      </c>
      <c r="J3" s="38" t="s">
        <v>119</v>
      </c>
      <c r="K3" s="38" t="s">
        <v>13</v>
      </c>
      <c r="L3" s="39">
        <f>(1-D5)/D4*1000</f>
        <v>-56.666666666666664</v>
      </c>
      <c r="M3" s="38" t="s">
        <v>37</v>
      </c>
    </row>
    <row r="4" spans="1:18" x14ac:dyDescent="0.2">
      <c r="B4" s="15" t="s">
        <v>89</v>
      </c>
      <c r="C4" s="2"/>
      <c r="D4" s="10">
        <v>7.65</v>
      </c>
      <c r="E4" s="12" t="s">
        <v>1</v>
      </c>
      <c r="F4" s="4"/>
      <c r="G4" s="4"/>
      <c r="H4" s="4"/>
      <c r="I4" s="4"/>
      <c r="L4" s="15"/>
      <c r="M4" s="28"/>
      <c r="N4" s="12"/>
    </row>
    <row r="5" spans="1:18" x14ac:dyDescent="0.2">
      <c r="B5" s="15" t="s">
        <v>117</v>
      </c>
      <c r="C5" s="2"/>
      <c r="D5" s="10">
        <v>1.4335</v>
      </c>
      <c r="E5" s="12"/>
      <c r="F5" s="4"/>
      <c r="G5" s="4"/>
      <c r="H5" s="2" t="s">
        <v>120</v>
      </c>
      <c r="I5" s="4">
        <f>D11</f>
        <v>5</v>
      </c>
      <c r="J5" s="38" t="s">
        <v>119</v>
      </c>
      <c r="K5" s="38" t="s">
        <v>13</v>
      </c>
      <c r="L5" s="39">
        <f>D9-L3</f>
        <v>56.666666666666664</v>
      </c>
      <c r="M5" s="38" t="s">
        <v>37</v>
      </c>
      <c r="N5" s="12"/>
    </row>
    <row r="6" spans="1:18" x14ac:dyDescent="0.2">
      <c r="B6" s="15"/>
      <c r="C6" s="2"/>
      <c r="E6" s="14"/>
      <c r="L6" s="15"/>
      <c r="M6" s="28"/>
      <c r="N6" s="14"/>
    </row>
    <row r="7" spans="1:18" x14ac:dyDescent="0.2">
      <c r="B7" s="15"/>
      <c r="H7" s="40" t="s">
        <v>121</v>
      </c>
      <c r="I7" s="41">
        <f>D11</f>
        <v>5</v>
      </c>
      <c r="J7" s="42" t="s">
        <v>119</v>
      </c>
      <c r="K7" s="42" t="s">
        <v>13</v>
      </c>
      <c r="L7" s="43">
        <f>(D5-1)/L5*1000</f>
        <v>7.65</v>
      </c>
      <c r="M7" s="44" t="s">
        <v>1</v>
      </c>
      <c r="N7" s="12"/>
    </row>
    <row r="8" spans="1:18" x14ac:dyDescent="0.2">
      <c r="B8" s="13" t="s">
        <v>124</v>
      </c>
      <c r="L8" s="17"/>
      <c r="M8" s="28"/>
      <c r="P8" s="4"/>
      <c r="Q8" s="5"/>
      <c r="R8" s="6"/>
    </row>
    <row r="9" spans="1:18" x14ac:dyDescent="0.2">
      <c r="B9" s="15" t="s">
        <v>50</v>
      </c>
      <c r="D9" s="10">
        <v>0</v>
      </c>
      <c r="E9" s="12" t="s">
        <v>37</v>
      </c>
      <c r="L9" s="15"/>
      <c r="M9" s="29"/>
      <c r="N9" s="12"/>
      <c r="P9" s="4"/>
      <c r="Q9" s="5"/>
      <c r="R9" s="6"/>
    </row>
    <row r="10" spans="1:18" x14ac:dyDescent="0.2">
      <c r="B10" s="15" t="s">
        <v>42</v>
      </c>
      <c r="D10" s="10">
        <v>-1</v>
      </c>
      <c r="E10" s="12" t="s">
        <v>37</v>
      </c>
      <c r="H10" s="2" t="s">
        <v>120</v>
      </c>
      <c r="I10" s="4">
        <f>IF(D11&gt;90,D11-90,D11+90)</f>
        <v>95</v>
      </c>
      <c r="J10" s="38" t="s">
        <v>119</v>
      </c>
      <c r="K10" s="38" t="s">
        <v>13</v>
      </c>
      <c r="L10" s="39">
        <f>D9+D10-L3</f>
        <v>55.666666666666664</v>
      </c>
      <c r="M10" s="38" t="s">
        <v>37</v>
      </c>
      <c r="N10" s="12"/>
      <c r="P10" s="4"/>
      <c r="Q10" s="5"/>
      <c r="R10" s="6"/>
    </row>
    <row r="11" spans="1:18" x14ac:dyDescent="0.2">
      <c r="B11" s="15" t="s">
        <v>98</v>
      </c>
      <c r="D11" s="9">
        <v>5</v>
      </c>
      <c r="E11" s="14" t="s">
        <v>4</v>
      </c>
      <c r="L11" s="15"/>
      <c r="M11" s="28"/>
      <c r="N11" s="14"/>
      <c r="O11" s="19"/>
      <c r="P11" s="4"/>
      <c r="Q11" s="5"/>
      <c r="R11" s="6"/>
    </row>
    <row r="12" spans="1:18" x14ac:dyDescent="0.2">
      <c r="A12" s="11"/>
      <c r="C12" s="11"/>
      <c r="D12" s="11"/>
      <c r="E12" s="11"/>
      <c r="F12" s="11"/>
      <c r="G12" s="11"/>
      <c r="H12" s="40" t="s">
        <v>121</v>
      </c>
      <c r="I12" s="41">
        <f>I10</f>
        <v>95</v>
      </c>
      <c r="J12" s="42" t="s">
        <v>119</v>
      </c>
      <c r="K12" s="42" t="s">
        <v>13</v>
      </c>
      <c r="L12" s="43">
        <f>(D5-1)/L10*1000</f>
        <v>7.7874251497005993</v>
      </c>
      <c r="M12" s="44" t="s">
        <v>1</v>
      </c>
      <c r="N12" s="11"/>
      <c r="O12" s="11"/>
    </row>
    <row r="13" spans="1:18" x14ac:dyDescent="0.2">
      <c r="A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8" x14ac:dyDescent="0.2">
      <c r="A14" s="11"/>
      <c r="C14" s="11"/>
      <c r="D14" s="11"/>
      <c r="E14" s="11"/>
      <c r="F14" s="11"/>
      <c r="G14" s="45"/>
      <c r="H14" s="42"/>
      <c r="I14" s="46"/>
      <c r="J14" s="46" t="s">
        <v>125</v>
      </c>
      <c r="K14" s="46" t="s">
        <v>13</v>
      </c>
      <c r="L14" s="501">
        <f>IF(L12-L7&gt;0,L12-L7,L7-L12)</f>
        <v>0.13742514970059894</v>
      </c>
      <c r="M14" s="48" t="s">
        <v>1</v>
      </c>
      <c r="N14" s="11"/>
      <c r="O14" s="11"/>
    </row>
    <row r="15" spans="1:18" x14ac:dyDescent="0.2">
      <c r="A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8" x14ac:dyDescent="0.2">
      <c r="A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sheetProtection password="CDCE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RowColHeaders="0" zoomScale="150" zoomScaleNormal="150" workbookViewId="0">
      <selection activeCell="D9" sqref="D9"/>
    </sheetView>
  </sheetViews>
  <sheetFormatPr baseColWidth="10" defaultRowHeight="12.75" x14ac:dyDescent="0.2"/>
  <cols>
    <col min="1" max="1" width="4.42578125" style="8" customWidth="1"/>
    <col min="2" max="2" width="22.85546875" style="11" customWidth="1"/>
    <col min="3" max="3" width="3.85546875" style="8" customWidth="1"/>
    <col min="4" max="4" width="8" style="8" customWidth="1"/>
    <col min="5" max="5" width="7.5703125" style="8" customWidth="1"/>
    <col min="6" max="6" width="5" style="8" customWidth="1"/>
    <col min="7" max="7" width="4.42578125" style="8" customWidth="1"/>
    <col min="8" max="9" width="4.140625" style="8" customWidth="1"/>
    <col min="10" max="10" width="2.42578125" style="8" customWidth="1"/>
    <col min="11" max="11" width="2.28515625" style="8" customWidth="1"/>
    <col min="12" max="12" width="8.42578125" style="8" customWidth="1"/>
    <col min="13" max="13" width="4.7109375" style="8" customWidth="1"/>
    <col min="14" max="14" width="3.140625" style="8" customWidth="1"/>
    <col min="15" max="16384" width="11.42578125" style="8"/>
  </cols>
  <sheetData>
    <row r="1" spans="1:18" ht="16.5" customHeight="1" x14ac:dyDescent="0.2">
      <c r="A1" s="21"/>
      <c r="B1" s="27" t="s">
        <v>233</v>
      </c>
      <c r="C1" s="22"/>
      <c r="D1" s="23"/>
      <c r="E1" s="23"/>
      <c r="F1" s="24"/>
      <c r="G1" s="24"/>
      <c r="H1" s="24"/>
      <c r="I1" s="24"/>
      <c r="J1" s="24"/>
      <c r="K1" s="25"/>
      <c r="L1" s="26"/>
      <c r="M1" s="21"/>
      <c r="N1" s="21"/>
      <c r="O1" s="21"/>
      <c r="P1" s="21"/>
      <c r="Q1" s="21"/>
      <c r="R1" s="21"/>
    </row>
    <row r="2" spans="1:18" x14ac:dyDescent="0.2">
      <c r="B2" s="2"/>
      <c r="C2" s="2"/>
      <c r="D2" s="3"/>
      <c r="E2" s="3"/>
      <c r="F2" s="4"/>
      <c r="G2" s="4"/>
      <c r="H2" s="4"/>
      <c r="I2" s="4"/>
      <c r="J2" s="5"/>
      <c r="K2" s="6"/>
    </row>
    <row r="3" spans="1:18" x14ac:dyDescent="0.2">
      <c r="B3" s="17" t="s">
        <v>131</v>
      </c>
      <c r="E3" s="3"/>
      <c r="F3" s="4"/>
      <c r="G3" s="4"/>
      <c r="H3" s="2" t="s">
        <v>118</v>
      </c>
      <c r="I3" s="4">
        <v>0</v>
      </c>
      <c r="J3" s="38" t="s">
        <v>119</v>
      </c>
      <c r="K3" s="38" t="s">
        <v>13</v>
      </c>
      <c r="L3" s="39">
        <f>ROUND((1-D6)/D4*1000,2)</f>
        <v>-62.82</v>
      </c>
      <c r="M3" s="38" t="s">
        <v>37</v>
      </c>
      <c r="O3" s="498" t="s">
        <v>231</v>
      </c>
      <c r="P3" s="499">
        <f>ROUND((1-D6)/D5*1000,2)</f>
        <v>-66.22</v>
      </c>
    </row>
    <row r="4" spans="1:18" x14ac:dyDescent="0.2">
      <c r="B4" s="15" t="s">
        <v>126</v>
      </c>
      <c r="C4" s="2"/>
      <c r="D4" s="10">
        <v>7.8</v>
      </c>
      <c r="E4" s="12" t="s">
        <v>1</v>
      </c>
      <c r="F4" s="4"/>
      <c r="G4" s="4"/>
      <c r="H4" s="2" t="s">
        <v>120</v>
      </c>
      <c r="I4" s="4">
        <v>0</v>
      </c>
      <c r="J4" s="38" t="s">
        <v>119</v>
      </c>
      <c r="K4" s="38" t="s">
        <v>13</v>
      </c>
      <c r="L4" s="39">
        <f>ROUND(D9-L3,2)</f>
        <v>62.82</v>
      </c>
      <c r="M4" s="38" t="s">
        <v>37</v>
      </c>
      <c r="N4" s="12"/>
    </row>
    <row r="5" spans="1:18" x14ac:dyDescent="0.2">
      <c r="B5" s="15" t="s">
        <v>127</v>
      </c>
      <c r="D5" s="10">
        <v>7.4</v>
      </c>
      <c r="E5" s="12" t="s">
        <v>1</v>
      </c>
      <c r="F5" s="4"/>
      <c r="G5" s="4"/>
      <c r="H5" s="40" t="s">
        <v>121</v>
      </c>
      <c r="I5" s="41">
        <v>0</v>
      </c>
      <c r="J5" s="42" t="s">
        <v>119</v>
      </c>
      <c r="K5" s="42" t="s">
        <v>13</v>
      </c>
      <c r="L5" s="43">
        <f>(D6-1)/L4*1000</f>
        <v>7.8000636739891753</v>
      </c>
      <c r="M5" s="44" t="s">
        <v>1</v>
      </c>
      <c r="N5" s="12"/>
    </row>
    <row r="6" spans="1:18" x14ac:dyDescent="0.2">
      <c r="B6" s="15" t="s">
        <v>117</v>
      </c>
      <c r="C6" s="2"/>
      <c r="D6" s="10">
        <v>1.49</v>
      </c>
      <c r="E6" s="14"/>
      <c r="L6" s="15"/>
      <c r="M6" s="28"/>
      <c r="N6" s="14"/>
    </row>
    <row r="7" spans="1:18" x14ac:dyDescent="0.2">
      <c r="B7" s="15"/>
      <c r="I7" s="7" t="s">
        <v>129</v>
      </c>
      <c r="K7" s="38" t="s">
        <v>13</v>
      </c>
      <c r="L7" s="49">
        <f>ROUND((1.336-D6)*(1/D5-1/D4)*1000,2)</f>
        <v>-1.07</v>
      </c>
      <c r="M7" s="38" t="s">
        <v>130</v>
      </c>
      <c r="N7" s="12"/>
    </row>
    <row r="8" spans="1:18" x14ac:dyDescent="0.2">
      <c r="B8" s="13" t="s">
        <v>132</v>
      </c>
      <c r="L8" s="17"/>
      <c r="M8" s="28"/>
      <c r="P8" s="4"/>
      <c r="Q8" s="5"/>
      <c r="R8" s="6"/>
    </row>
    <row r="9" spans="1:18" x14ac:dyDescent="0.2">
      <c r="B9" s="15" t="s">
        <v>50</v>
      </c>
      <c r="D9" s="10">
        <v>0</v>
      </c>
      <c r="E9" s="12" t="s">
        <v>128</v>
      </c>
      <c r="L9" s="15"/>
      <c r="M9" s="29"/>
      <c r="N9" s="12"/>
      <c r="P9" s="4"/>
      <c r="Q9" s="5"/>
      <c r="R9" s="6"/>
    </row>
    <row r="10" spans="1:18" x14ac:dyDescent="0.2">
      <c r="C10" s="11"/>
      <c r="D10" s="11"/>
      <c r="E10" s="11"/>
      <c r="H10" s="2" t="s">
        <v>120</v>
      </c>
      <c r="I10" s="4">
        <v>90</v>
      </c>
      <c r="J10" s="38" t="s">
        <v>119</v>
      </c>
      <c r="K10" s="38" t="s">
        <v>13</v>
      </c>
      <c r="L10" s="39">
        <f>L4-L7</f>
        <v>63.89</v>
      </c>
      <c r="M10" s="38" t="s">
        <v>37</v>
      </c>
      <c r="N10" s="12"/>
      <c r="P10" s="4"/>
      <c r="Q10" s="5"/>
      <c r="R10" s="6"/>
    </row>
    <row r="11" spans="1:18" x14ac:dyDescent="0.2">
      <c r="B11" s="15" t="s">
        <v>50</v>
      </c>
      <c r="D11" s="500">
        <f>L10+P3</f>
        <v>-2.3299999999999983</v>
      </c>
      <c r="E11" s="12" t="s">
        <v>232</v>
      </c>
      <c r="H11" s="40" t="s">
        <v>121</v>
      </c>
      <c r="I11" s="41">
        <f>I10</f>
        <v>90</v>
      </c>
      <c r="J11" s="42" t="s">
        <v>119</v>
      </c>
      <c r="K11" s="42" t="s">
        <v>13</v>
      </c>
      <c r="L11" s="43">
        <f>ROUND((D6-1)/L10*1000,2)</f>
        <v>7.67</v>
      </c>
      <c r="M11" s="44" t="s">
        <v>1</v>
      </c>
      <c r="N11" s="14"/>
      <c r="O11" s="19"/>
      <c r="P11" s="4"/>
      <c r="Q11" s="5"/>
      <c r="R11" s="6"/>
    </row>
    <row r="12" spans="1:18" x14ac:dyDescent="0.2">
      <c r="A12" s="11"/>
      <c r="C12" s="11"/>
      <c r="D12" s="11"/>
      <c r="E12" s="11"/>
      <c r="F12" s="11"/>
      <c r="G12" s="11"/>
      <c r="N12" s="11"/>
      <c r="O12" s="11"/>
    </row>
    <row r="13" spans="1:18" x14ac:dyDescent="0.2">
      <c r="A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8" x14ac:dyDescent="0.2">
      <c r="A14" s="11"/>
      <c r="C14" s="11"/>
      <c r="D14" s="11"/>
      <c r="E14" s="11"/>
      <c r="F14" s="11"/>
      <c r="G14" s="45"/>
      <c r="H14" s="42"/>
      <c r="I14" s="46"/>
      <c r="J14" s="46" t="s">
        <v>122</v>
      </c>
      <c r="K14" s="46" t="s">
        <v>13</v>
      </c>
      <c r="L14" s="47">
        <f>IF(L11-L5&gt;0,L11-L5,L5-L11)</f>
        <v>0.1300636739891754</v>
      </c>
      <c r="M14" s="48" t="s">
        <v>1</v>
      </c>
      <c r="N14" s="11"/>
      <c r="O14" s="11"/>
    </row>
    <row r="15" spans="1:18" x14ac:dyDescent="0.2">
      <c r="A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8" x14ac:dyDescent="0.2">
      <c r="A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sheetProtection password="CDCE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10"/>
  <sheetViews>
    <sheetView showGridLines="0" showRowColHeaders="0" zoomScaleNormal="100" workbookViewId="0">
      <selection activeCell="C4" sqref="C4"/>
    </sheetView>
  </sheetViews>
  <sheetFormatPr baseColWidth="10" defaultRowHeight="12.75" x14ac:dyDescent="0.2"/>
  <cols>
    <col min="1" max="1" width="1.7109375" style="60" customWidth="1"/>
    <col min="2" max="2" width="14.5703125" style="59" customWidth="1"/>
    <col min="3" max="3" width="6.85546875" style="60" customWidth="1"/>
    <col min="4" max="4" width="4.42578125" style="60" customWidth="1"/>
    <col min="5" max="5" width="5.140625" style="60" customWidth="1"/>
    <col min="6" max="6" width="0.28515625" style="60" customWidth="1"/>
    <col min="7" max="7" width="6.28515625" style="60" customWidth="1"/>
    <col min="8" max="8" width="6.7109375" style="60" customWidth="1"/>
    <col min="9" max="9" width="6.5703125" style="60" customWidth="1"/>
    <col min="10" max="10" width="6" style="60" customWidth="1"/>
    <col min="11" max="11" width="1.85546875" style="60" customWidth="1"/>
    <col min="12" max="12" width="6.28515625" style="60" customWidth="1"/>
    <col min="13" max="14" width="2.42578125" style="60" customWidth="1"/>
    <col min="15" max="15" width="7" style="60" customWidth="1"/>
    <col min="16" max="16" width="1.85546875" style="60" customWidth="1"/>
    <col min="17" max="17" width="5.28515625" style="60" customWidth="1"/>
    <col min="18" max="18" width="7.5703125" style="60" customWidth="1"/>
    <col min="19" max="19" width="8.140625" style="60" customWidth="1"/>
    <col min="20" max="20" width="2.140625" style="60" customWidth="1"/>
    <col min="21" max="21" width="7" style="60" customWidth="1"/>
    <col min="22" max="22" width="2.5703125" style="60" customWidth="1"/>
    <col min="23" max="23" width="6.5703125" style="60" customWidth="1"/>
    <col min="24" max="24" width="8.140625" style="60" customWidth="1"/>
    <col min="25" max="25" width="6.42578125" style="60" customWidth="1"/>
    <col min="26" max="26" width="7.28515625" style="60" customWidth="1"/>
    <col min="27" max="27" width="2.28515625" style="60" customWidth="1"/>
    <col min="28" max="28" width="1.42578125" style="60" customWidth="1"/>
    <col min="29" max="29" width="9.42578125" style="60" customWidth="1"/>
    <col min="30" max="30" width="2.7109375" style="60" customWidth="1"/>
    <col min="31" max="31" width="43.28515625" style="60" customWidth="1"/>
    <col min="32" max="32" width="8.5703125" style="60" customWidth="1"/>
    <col min="33" max="33" width="7.42578125" style="60" customWidth="1"/>
    <col min="34" max="34" width="2.42578125" style="60" customWidth="1"/>
    <col min="35" max="35" width="10.140625" style="60" customWidth="1"/>
    <col min="36" max="37" width="4.140625" style="60" customWidth="1"/>
    <col min="38" max="38" width="5.5703125" style="60" customWidth="1"/>
    <col min="39" max="39" width="1.7109375" style="60" customWidth="1"/>
    <col min="40" max="40" width="14.28515625" style="60" customWidth="1"/>
    <col min="41" max="41" width="7.5703125" style="60" customWidth="1"/>
    <col min="42" max="42" width="8.85546875" style="60" customWidth="1"/>
    <col min="43" max="43" width="8.140625" style="60" customWidth="1"/>
    <col min="44" max="44" width="10.28515625" style="60" customWidth="1"/>
    <col min="45" max="45" width="6.140625" style="60" customWidth="1"/>
    <col min="46" max="46" width="7.5703125" style="60" customWidth="1"/>
    <col min="47" max="47" width="9.85546875" style="60" customWidth="1"/>
    <col min="48" max="48" width="9.42578125" style="60" customWidth="1"/>
    <col min="49" max="49" width="4.5703125" style="60" customWidth="1"/>
    <col min="50" max="50" width="1.7109375" style="60" customWidth="1"/>
    <col min="51" max="51" width="9.5703125" style="59" customWidth="1"/>
    <col min="52" max="52" width="11.42578125" style="60"/>
    <col min="53" max="53" width="3.7109375" style="60" customWidth="1"/>
    <col min="54" max="54" width="12.28515625" style="60" customWidth="1"/>
    <col min="55" max="55" width="11.42578125" style="60"/>
    <col min="56" max="56" width="13.140625" style="60" bestFit="1" customWidth="1"/>
    <col min="57" max="16384" width="11.42578125" style="60"/>
  </cols>
  <sheetData>
    <row r="1" spans="1:75" ht="21" customHeight="1" x14ac:dyDescent="0.2">
      <c r="A1" s="313"/>
      <c r="B1" s="61" t="s">
        <v>198</v>
      </c>
      <c r="C1" s="62"/>
      <c r="D1" s="63"/>
      <c r="E1" s="63"/>
      <c r="F1" s="63"/>
      <c r="G1" s="63"/>
      <c r="H1" s="63"/>
      <c r="I1" s="63"/>
      <c r="J1" s="63"/>
      <c r="K1" s="63"/>
      <c r="L1" s="63"/>
      <c r="M1" s="313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38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192"/>
      <c r="AN1" s="61" t="s">
        <v>46</v>
      </c>
      <c r="AO1" s="63"/>
      <c r="AP1" s="63"/>
      <c r="AQ1" s="63"/>
      <c r="AR1" s="63"/>
      <c r="AS1" s="63" t="s">
        <v>172</v>
      </c>
      <c r="AT1" s="63"/>
      <c r="AU1" s="63"/>
      <c r="AV1" s="201"/>
      <c r="AW1" s="63"/>
      <c r="AX1" s="202"/>
      <c r="AY1" s="69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1"/>
    </row>
    <row r="2" spans="1:75" ht="14.25" customHeight="1" x14ac:dyDescent="0.2">
      <c r="A2" s="313"/>
      <c r="B2" s="64"/>
      <c r="C2" s="309"/>
      <c r="D2" s="309"/>
      <c r="E2" s="309"/>
      <c r="F2" s="309"/>
      <c r="G2" s="309"/>
      <c r="H2" s="309"/>
      <c r="I2" s="65"/>
      <c r="J2" s="66"/>
      <c r="K2" s="66"/>
      <c r="L2" s="66"/>
      <c r="M2" s="313"/>
      <c r="N2" s="65"/>
      <c r="O2" s="65"/>
      <c r="P2" s="65"/>
      <c r="Q2" s="65"/>
      <c r="R2" s="65"/>
      <c r="S2" s="65"/>
      <c r="T2" s="65"/>
      <c r="U2" s="72"/>
      <c r="V2" s="307"/>
      <c r="W2" s="65"/>
      <c r="X2" s="65"/>
      <c r="Y2" s="65"/>
      <c r="Z2" s="65"/>
      <c r="AA2" s="65"/>
      <c r="AB2" s="38"/>
      <c r="AC2" s="65"/>
      <c r="AD2" s="67"/>
      <c r="AE2" s="67"/>
      <c r="AF2" s="67"/>
      <c r="AG2" s="67"/>
      <c r="AH2" s="67"/>
      <c r="AI2" s="67"/>
      <c r="AJ2" s="67"/>
      <c r="AK2" s="65"/>
      <c r="AL2" s="65"/>
      <c r="AM2" s="192"/>
      <c r="AN2" s="68" t="s">
        <v>102</v>
      </c>
      <c r="AO2" s="65"/>
      <c r="AP2" s="65"/>
      <c r="AQ2" s="69">
        <f>T11</f>
        <v>-4.8431734317343169</v>
      </c>
      <c r="AR2" s="69">
        <f>T12</f>
        <v>2.4393272778881632</v>
      </c>
      <c r="AS2" s="38">
        <f>T13</f>
        <v>90</v>
      </c>
      <c r="AT2" s="67" t="s">
        <v>4</v>
      </c>
      <c r="AU2" s="70" t="s">
        <v>165</v>
      </c>
      <c r="AV2" s="71"/>
      <c r="AW2" s="65"/>
      <c r="AX2" s="193"/>
      <c r="AY2" s="69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1"/>
    </row>
    <row r="3" spans="1:75" ht="14.1" customHeight="1" x14ac:dyDescent="0.2">
      <c r="A3" s="313"/>
      <c r="B3" s="74" t="s">
        <v>70</v>
      </c>
      <c r="C3" s="75"/>
      <c r="D3" s="72"/>
      <c r="E3" s="67"/>
      <c r="F3" s="67"/>
      <c r="G3" s="67"/>
      <c r="H3" s="67"/>
      <c r="I3" s="67"/>
      <c r="J3" s="67"/>
      <c r="K3" s="67"/>
      <c r="L3" s="67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72"/>
      <c r="Z3" s="72"/>
      <c r="AA3" s="72"/>
      <c r="AB3" s="38"/>
      <c r="AC3" s="72"/>
      <c r="AD3" s="38"/>
      <c r="AE3" s="2"/>
      <c r="AF3" s="31"/>
      <c r="AG3" s="31"/>
      <c r="AH3" s="4"/>
      <c r="AI3" s="4"/>
      <c r="AJ3" s="6"/>
      <c r="AK3" s="72"/>
      <c r="AL3" s="72"/>
      <c r="AM3" s="193"/>
      <c r="AN3" s="38" t="s">
        <v>166</v>
      </c>
      <c r="AO3" s="38"/>
      <c r="AP3" s="38"/>
      <c r="AQ3" s="15" t="s">
        <v>26</v>
      </c>
      <c r="AR3" s="80" t="str">
        <f>IF(AND(C6&gt;=0,C6&lt;=45,C5&lt;0),"Rectus",IF(AND(C6&gt;=135,C6&lt;=180,C5&lt;0),"Rectus","Inversus"))</f>
        <v>Rectus</v>
      </c>
      <c r="AS3" s="81" t="s">
        <v>24</v>
      </c>
      <c r="AT3" s="80" t="str">
        <f>IF(AND(C10&gt;=0,C10&lt;=45,C9&gt;C11),"Rectus",IF(AND(C10&gt;=135,C10&lt;=180,C9&gt;C11),"Rectus","Inversus"))</f>
        <v>Rectus</v>
      </c>
      <c r="AU3" s="38"/>
      <c r="AV3" s="38"/>
      <c r="AW3" s="38"/>
      <c r="AX3" s="191"/>
      <c r="AY3" s="69"/>
      <c r="AZ3" s="38"/>
      <c r="BA3" s="82"/>
      <c r="BB3" s="82"/>
      <c r="BC3" s="82"/>
      <c r="BD3" s="38"/>
      <c r="BE3" s="38"/>
      <c r="BF3" s="38"/>
      <c r="BG3" s="38"/>
      <c r="BH3" s="38"/>
      <c r="BI3" s="38"/>
      <c r="BJ3" s="38"/>
      <c r="BK3" s="38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1"/>
    </row>
    <row r="4" spans="1:75" ht="14.1" customHeight="1" x14ac:dyDescent="0.2">
      <c r="A4" s="313"/>
      <c r="B4" s="83" t="s">
        <v>32</v>
      </c>
      <c r="C4" s="203">
        <v>-2.5</v>
      </c>
      <c r="D4" s="83" t="s">
        <v>37</v>
      </c>
      <c r="E4" s="78" t="s">
        <v>173</v>
      </c>
      <c r="F4" s="38"/>
      <c r="G4" s="38"/>
      <c r="H4" s="79"/>
      <c r="I4" s="38"/>
      <c r="J4" s="72"/>
      <c r="K4" s="72"/>
      <c r="L4" s="72"/>
      <c r="M4" s="72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90"/>
      <c r="Z4" s="82"/>
      <c r="AA4" s="82"/>
      <c r="AB4" s="38"/>
      <c r="AC4" s="82"/>
      <c r="AD4" s="38"/>
      <c r="AE4" s="2"/>
      <c r="AF4" s="31"/>
      <c r="AG4" s="4"/>
      <c r="AH4" s="4"/>
      <c r="AI4" s="4"/>
      <c r="AJ4" s="6"/>
      <c r="AK4" s="82"/>
      <c r="AL4" s="82"/>
      <c r="AM4" s="194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191"/>
      <c r="AY4" s="69"/>
      <c r="AZ4" s="38"/>
      <c r="BA4" s="82"/>
      <c r="BB4" s="82"/>
      <c r="BC4" s="67"/>
      <c r="BD4" s="82"/>
      <c r="BE4" s="38"/>
      <c r="BF4" s="38"/>
      <c r="BG4" s="38"/>
      <c r="BH4" s="38"/>
      <c r="BI4" s="38"/>
      <c r="BJ4" s="38"/>
      <c r="BK4" s="38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1"/>
    </row>
    <row r="5" spans="1:75" ht="14.1" customHeight="1" x14ac:dyDescent="0.2">
      <c r="A5" s="313"/>
      <c r="B5" s="83" t="s">
        <v>69</v>
      </c>
      <c r="C5" s="204">
        <v>-2.75</v>
      </c>
      <c r="D5" s="83" t="s">
        <v>37</v>
      </c>
      <c r="E5" s="89" t="s">
        <v>150</v>
      </c>
      <c r="F5" s="67"/>
      <c r="G5" s="38"/>
      <c r="H5" s="38"/>
      <c r="I5" s="90" t="str">
        <f>AU20</f>
        <v>asphärische Geometrie</v>
      </c>
      <c r="J5" s="38"/>
      <c r="K5" s="90"/>
      <c r="L5" s="90"/>
      <c r="M5" s="90"/>
      <c r="N5" s="91" t="str">
        <f>IF(ABS(C9-C11)&lt;0.45,"/ rotationssymmetrisch (RS)","/ rücktorisch (RT)")</f>
        <v>/ rücktorisch (RT)</v>
      </c>
      <c r="O5" s="91"/>
      <c r="P5" s="313"/>
      <c r="Q5" s="313"/>
      <c r="R5" s="313"/>
      <c r="S5" s="313"/>
      <c r="T5" s="313"/>
      <c r="U5" s="313"/>
      <c r="V5" s="313"/>
      <c r="W5" s="313"/>
      <c r="X5" s="313"/>
      <c r="Y5" s="67"/>
      <c r="Z5" s="38"/>
      <c r="AA5" s="67"/>
      <c r="AB5" s="38"/>
      <c r="AC5" s="67"/>
      <c r="AD5" s="38"/>
      <c r="AE5" s="2"/>
      <c r="AF5" s="31"/>
      <c r="AG5" s="31"/>
      <c r="AH5" s="4"/>
      <c r="AI5" s="92"/>
      <c r="AJ5" s="6"/>
      <c r="AK5" s="67"/>
      <c r="AL5" s="67"/>
      <c r="AM5" s="195"/>
      <c r="AN5" s="93" t="s">
        <v>19</v>
      </c>
      <c r="AO5" s="67"/>
      <c r="AP5" s="94"/>
      <c r="AQ5" s="95" t="s">
        <v>47</v>
      </c>
      <c r="AR5" s="73" t="str">
        <f>IF(AP12&gt;8.2,"flache",IF(AP12&lt;7.4,"steile","normale"))</f>
        <v>normale</v>
      </c>
      <c r="AS5" s="67"/>
      <c r="AT5" s="67" t="s">
        <v>0</v>
      </c>
      <c r="AU5" s="67"/>
      <c r="AV5" s="67" t="str">
        <f>IF(AP12&lt;7,"Keratokonus ?","")</f>
        <v/>
      </c>
      <c r="AW5" s="67"/>
      <c r="AX5" s="195"/>
      <c r="AY5" s="67"/>
      <c r="AZ5" s="38"/>
      <c r="BA5" s="82"/>
      <c r="BB5" s="38"/>
      <c r="BC5" s="82"/>
      <c r="BD5" s="67"/>
      <c r="BE5" s="38"/>
      <c r="BF5" s="38"/>
      <c r="BG5" s="38"/>
      <c r="BH5" s="38"/>
      <c r="BI5" s="38"/>
      <c r="BJ5" s="38"/>
      <c r="BK5" s="38"/>
      <c r="BL5" s="73"/>
      <c r="BM5" s="79"/>
      <c r="BN5" s="79"/>
      <c r="BO5" s="79"/>
      <c r="BP5" s="67"/>
      <c r="BQ5" s="67"/>
      <c r="BR5" s="67"/>
      <c r="BS5" s="67"/>
      <c r="BT5" s="67"/>
      <c r="BU5" s="67"/>
      <c r="BV5" s="67"/>
    </row>
    <row r="6" spans="1:75" ht="14.1" customHeight="1" x14ac:dyDescent="0.2">
      <c r="A6" s="313"/>
      <c r="B6" s="96" t="s">
        <v>6</v>
      </c>
      <c r="C6" s="205">
        <v>0</v>
      </c>
      <c r="D6" s="83" t="s">
        <v>4</v>
      </c>
      <c r="E6" s="89" t="s">
        <v>144</v>
      </c>
      <c r="F6" s="67"/>
      <c r="G6" s="38"/>
      <c r="H6" s="38"/>
      <c r="I6" s="91" t="str">
        <f>O21</f>
        <v>RT - rücktorische HL / BTX</v>
      </c>
      <c r="J6" s="90"/>
      <c r="K6" s="90"/>
      <c r="L6" s="90"/>
      <c r="M6" s="90"/>
      <c r="N6" s="90"/>
      <c r="O6" s="90"/>
      <c r="P6" s="313"/>
      <c r="Q6" s="313"/>
      <c r="R6" s="313"/>
      <c r="S6" s="313"/>
      <c r="T6" s="313"/>
      <c r="U6" s="313"/>
      <c r="V6" s="313"/>
      <c r="W6" s="313"/>
      <c r="X6" s="313"/>
      <c r="Y6" s="82"/>
      <c r="Z6" s="38"/>
      <c r="AA6" s="82"/>
      <c r="AB6" s="38"/>
      <c r="AC6" s="82"/>
      <c r="AD6" s="38"/>
      <c r="AE6" s="2"/>
      <c r="AF6" s="31"/>
      <c r="AG6" s="31"/>
      <c r="AH6" s="4"/>
      <c r="AI6" s="92"/>
      <c r="AJ6" s="6"/>
      <c r="AK6" s="82"/>
      <c r="AL6" s="82"/>
      <c r="AM6" s="194"/>
      <c r="AN6" s="93" t="s">
        <v>22</v>
      </c>
      <c r="AO6" s="67"/>
      <c r="AP6" s="67"/>
      <c r="AQ6" s="95" t="s">
        <v>47</v>
      </c>
      <c r="AR6" s="73" t="str">
        <f>IF(AT14&gt;0.3,"stark",IF(AT14&lt;0.09,"gering","normal"))</f>
        <v>stark</v>
      </c>
      <c r="AS6" s="67"/>
      <c r="AT6" s="67" t="s">
        <v>23</v>
      </c>
      <c r="AU6" s="67"/>
      <c r="AV6" s="67"/>
      <c r="AW6" s="67"/>
      <c r="AX6" s="195"/>
      <c r="AY6" s="67"/>
      <c r="AZ6" s="67"/>
      <c r="BA6" s="38"/>
      <c r="BB6" s="38"/>
      <c r="BC6" s="67"/>
      <c r="BD6" s="82"/>
      <c r="BE6" s="38"/>
      <c r="BF6" s="38"/>
      <c r="BG6" s="38"/>
      <c r="BH6" s="38"/>
      <c r="BI6" s="38"/>
      <c r="BJ6" s="38"/>
      <c r="BK6" s="38"/>
      <c r="BL6" s="73"/>
      <c r="BM6" s="67"/>
      <c r="BN6" s="67"/>
      <c r="BO6" s="67"/>
      <c r="BP6" s="67"/>
      <c r="BQ6" s="67"/>
      <c r="BR6" s="67"/>
      <c r="BS6" s="67"/>
      <c r="BT6" s="67"/>
      <c r="BU6" s="67"/>
      <c r="BV6" s="67"/>
    </row>
    <row r="7" spans="1:75" ht="14.1" customHeight="1" x14ac:dyDescent="0.2">
      <c r="A7" s="313"/>
      <c r="B7" s="96" t="s">
        <v>40</v>
      </c>
      <c r="C7" s="206">
        <v>16</v>
      </c>
      <c r="D7" s="83" t="s">
        <v>1</v>
      </c>
      <c r="E7" s="38" t="s">
        <v>171</v>
      </c>
      <c r="F7" s="38"/>
      <c r="G7" s="38"/>
      <c r="H7" s="38"/>
      <c r="I7" s="91" t="str">
        <f>IF(ABS(O20)&lt;ABS(O19),"IA &lt; GA  -&gt; Hartlinsenvorteil","GA &lt; IA  -&gt; Weichlinsenvorteil")</f>
        <v>IA &lt; GA  -&gt; Hartlinsenvorteil</v>
      </c>
      <c r="J7" s="91"/>
      <c r="K7" s="91"/>
      <c r="L7" s="91"/>
      <c r="M7" s="91"/>
      <c r="N7" s="90"/>
      <c r="O7" s="90"/>
      <c r="P7" s="313"/>
      <c r="Q7" s="313"/>
      <c r="R7" s="313"/>
      <c r="S7" s="313"/>
      <c r="T7" s="313"/>
      <c r="U7" s="313"/>
      <c r="V7" s="313"/>
      <c r="W7" s="313"/>
      <c r="X7" s="313"/>
      <c r="Y7" s="67"/>
      <c r="Z7" s="38"/>
      <c r="AA7" s="67"/>
      <c r="AB7" s="38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195"/>
      <c r="AN7" s="93" t="s">
        <v>33</v>
      </c>
      <c r="AO7" s="67"/>
      <c r="AP7" s="67"/>
      <c r="AQ7" s="95" t="s">
        <v>47</v>
      </c>
      <c r="AR7" s="73" t="s">
        <v>24</v>
      </c>
      <c r="AS7" s="95" t="s">
        <v>25</v>
      </c>
      <c r="AT7" s="93">
        <f>-AT14*6</f>
        <v>-3.5999999999999979</v>
      </c>
      <c r="AU7" s="67">
        <f>IF(C9&gt;C11,C10,IF(C10&gt;90,C10-90,C10+90))</f>
        <v>0</v>
      </c>
      <c r="AV7" s="67" t="s">
        <v>4</v>
      </c>
      <c r="AW7" s="67"/>
      <c r="AX7" s="195"/>
      <c r="AY7" s="67"/>
      <c r="AZ7" s="98"/>
      <c r="BA7" s="38"/>
      <c r="BB7" s="38"/>
      <c r="BC7" s="38"/>
      <c r="BD7" s="67"/>
      <c r="BE7" s="38"/>
      <c r="BF7" s="38"/>
      <c r="BG7" s="38"/>
      <c r="BH7" s="38"/>
      <c r="BI7" s="38"/>
      <c r="BJ7" s="38"/>
      <c r="BK7" s="38"/>
      <c r="BL7" s="73"/>
      <c r="BM7" s="79"/>
      <c r="BN7" s="67"/>
      <c r="BO7" s="67"/>
      <c r="BP7" s="67"/>
      <c r="BQ7" s="67"/>
      <c r="BR7" s="67"/>
      <c r="BS7" s="93"/>
      <c r="BT7" s="99"/>
      <c r="BU7" s="100"/>
      <c r="BV7" s="67"/>
    </row>
    <row r="8" spans="1:75" ht="15" customHeight="1" x14ac:dyDescent="0.2">
      <c r="A8" s="313"/>
      <c r="B8" s="101" t="s">
        <v>135</v>
      </c>
      <c r="C8" s="69"/>
      <c r="D8" s="83"/>
      <c r="E8" s="67"/>
      <c r="F8" s="67"/>
      <c r="G8" s="73"/>
      <c r="H8" s="73"/>
      <c r="I8" s="91" t="str">
        <f>IF(ABS(O20)&lt;ABS(O19),IF(ABS(O20)&lt;=0.5,"IA &lt;= 0,5  -&gt; sphärisch wirksame Linse","IA &gt; 0,5  -&gt;  astigmatische Linse"),IF(ABS(O19)&lt;=0.5,"GA &lt;= 0,5  -&gt; sphärisch wirksame Linse","GA &gt; 0,5  -&gt;  astigmatische Linse"))</f>
        <v>IA &gt; 0,5  -&gt;  astigmatische Linse</v>
      </c>
      <c r="J8" s="91"/>
      <c r="K8" s="91"/>
      <c r="L8" s="91"/>
      <c r="M8" s="90"/>
      <c r="N8" s="90"/>
      <c r="O8" s="90"/>
      <c r="P8" s="313"/>
      <c r="Q8" s="313"/>
      <c r="R8" s="313"/>
      <c r="S8" s="313"/>
      <c r="T8" s="313"/>
      <c r="U8" s="313"/>
      <c r="V8" s="313"/>
      <c r="W8" s="313"/>
      <c r="X8" s="313"/>
      <c r="Y8" s="38"/>
      <c r="Z8" s="38"/>
      <c r="AA8" s="67"/>
      <c r="AB8" s="38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195"/>
      <c r="AN8" s="73" t="s">
        <v>26</v>
      </c>
      <c r="AO8" s="95" t="s">
        <v>25</v>
      </c>
      <c r="AP8" s="93">
        <f>O12</f>
        <v>-2.4393272778881632</v>
      </c>
      <c r="AQ8" s="67">
        <f>IF(C5=0," ",C6)</f>
        <v>0</v>
      </c>
      <c r="AR8" s="73" t="s">
        <v>53</v>
      </c>
      <c r="AS8" s="95" t="s">
        <v>25</v>
      </c>
      <c r="AT8" s="93">
        <f>IF(AR3=AT3,AP8-AT7,AP8*(-1)-AT7)</f>
        <v>1.1606727221118347</v>
      </c>
      <c r="AU8" s="103">
        <f>AU7</f>
        <v>0</v>
      </c>
      <c r="AV8" s="103" t="s">
        <v>4</v>
      </c>
      <c r="AW8" s="103"/>
      <c r="AX8" s="198"/>
      <c r="AY8" s="103"/>
      <c r="AZ8" s="67"/>
      <c r="BA8" s="104"/>
      <c r="BB8" s="104"/>
      <c r="BC8" s="67"/>
      <c r="BD8" s="67"/>
      <c r="BE8" s="38"/>
      <c r="BF8" s="38"/>
      <c r="BG8" s="38"/>
      <c r="BH8" s="38"/>
      <c r="BI8" s="38"/>
      <c r="BJ8" s="38"/>
      <c r="BK8" s="38"/>
      <c r="BL8" s="73"/>
      <c r="BM8" s="79"/>
      <c r="BN8" s="67"/>
      <c r="BO8" s="67"/>
      <c r="BP8" s="67"/>
      <c r="BQ8" s="67"/>
      <c r="BR8" s="67"/>
      <c r="BS8" s="93"/>
      <c r="BT8" s="99"/>
      <c r="BU8" s="100"/>
      <c r="BV8" s="67"/>
    </row>
    <row r="9" spans="1:75" ht="14.1" customHeight="1" x14ac:dyDescent="0.2">
      <c r="A9" s="313"/>
      <c r="B9" s="83" t="s">
        <v>5</v>
      </c>
      <c r="C9" s="203">
        <v>8.11</v>
      </c>
      <c r="D9" s="83" t="s">
        <v>1</v>
      </c>
      <c r="E9" s="38"/>
      <c r="F9" s="38"/>
      <c r="G9" s="38"/>
      <c r="H9" s="38"/>
      <c r="I9" s="91" t="str">
        <f>IF(ABS(O20)&lt;ABS(O19),IF(AT14&lt;0.45,"Δ rc &lt;= 0,5  -&gt;  rotationssymmetrische Rückfläche","Δ rc &gt;= 0,4  -&gt;  rücktorische Fläche"),"")</f>
        <v>Δ rc &gt;= 0,4  -&gt;  rücktorische Fläche</v>
      </c>
      <c r="J9" s="91"/>
      <c r="K9" s="91"/>
      <c r="L9" s="91"/>
      <c r="M9" s="91"/>
      <c r="N9" s="91"/>
      <c r="O9" s="91"/>
      <c r="P9" s="313"/>
      <c r="Q9" s="313"/>
      <c r="R9" s="313"/>
      <c r="S9" s="313"/>
      <c r="T9" s="313"/>
      <c r="U9" s="313"/>
      <c r="V9" s="313"/>
      <c r="W9" s="313"/>
      <c r="X9" s="313"/>
      <c r="Y9" s="91"/>
      <c r="Z9" s="38"/>
      <c r="AA9" s="67"/>
      <c r="AB9" s="38"/>
      <c r="AC9" s="67"/>
      <c r="AD9" s="38"/>
      <c r="AE9" s="38"/>
      <c r="AF9" s="38"/>
      <c r="AG9" s="38"/>
      <c r="AH9" s="38"/>
      <c r="AI9" s="38"/>
      <c r="AJ9" s="38"/>
      <c r="AK9" s="67"/>
      <c r="AL9" s="67"/>
      <c r="AM9" s="195"/>
      <c r="AN9" s="69" t="s">
        <v>62</v>
      </c>
      <c r="AO9" s="67"/>
      <c r="AP9" s="38"/>
      <c r="AQ9" s="67"/>
      <c r="AR9" s="73"/>
      <c r="AS9" s="38"/>
      <c r="AT9" s="67"/>
      <c r="AU9" s="107" t="str">
        <f>IF(ABS(AT8)&lt;ABS(AP8),IF(ABS(AT8)&gt;0.5,IF(AT14&lt;0.4,"VPT - vorderprismatischtorische HL","RT - rücktorische HL / BTX"),IF(AT14&lt;0.45,"RS - rotationssym. HL","BTC - bitorischkompensierte HL")),IF(ABS(AP8)&gt;0.5,"torische Weichlinse","sph. wirksame Weichlinse"))</f>
        <v>RT - rücktorische HL / BTX</v>
      </c>
      <c r="AV9" s="38"/>
      <c r="AW9" s="107"/>
      <c r="AX9" s="199"/>
      <c r="AY9" s="69"/>
      <c r="AZ9" s="38"/>
      <c r="BA9" s="38"/>
      <c r="BB9" s="38"/>
      <c r="BC9" s="38"/>
      <c r="BD9" s="67"/>
      <c r="BE9" s="38"/>
      <c r="BF9" s="38"/>
      <c r="BG9" s="38"/>
      <c r="BH9" s="38"/>
      <c r="BI9" s="38"/>
      <c r="BJ9" s="38"/>
      <c r="BK9" s="38"/>
      <c r="BL9" s="73"/>
      <c r="BM9" s="79"/>
      <c r="BN9" s="67"/>
      <c r="BO9" s="67"/>
      <c r="BP9" s="67"/>
      <c r="BQ9" s="67"/>
      <c r="BR9" s="67"/>
      <c r="BS9" s="93"/>
      <c r="BT9" s="99"/>
      <c r="BU9" s="100"/>
      <c r="BV9" s="67"/>
    </row>
    <row r="10" spans="1:75" ht="14.1" customHeight="1" x14ac:dyDescent="0.2">
      <c r="A10" s="313"/>
      <c r="B10" s="83" t="s">
        <v>44</v>
      </c>
      <c r="C10" s="207">
        <v>0</v>
      </c>
      <c r="D10" s="83" t="s">
        <v>4</v>
      </c>
      <c r="E10" s="38"/>
      <c r="F10" s="38"/>
      <c r="G10" s="38"/>
      <c r="H10" s="38"/>
      <c r="I10" s="90" t="str">
        <f>IF(I6="RT - rücktorische HL / BTX",IF(AND(I6="RT - rücktorische HL / BTX",ABS(O18/3-O20)&lt;=0.1),"RT - Vollkorrektionsfall weil IA=HHA/3","RT - Linse als Messlinse für BTX"),"")</f>
        <v>RT - Linse als Messlinse für BTX</v>
      </c>
      <c r="J10" s="38"/>
      <c r="K10" s="90"/>
      <c r="L10" s="90"/>
      <c r="M10" s="90"/>
      <c r="N10" s="91"/>
      <c r="O10" s="91"/>
      <c r="P10" s="310"/>
      <c r="Q10" s="310"/>
      <c r="R10" s="310"/>
      <c r="S10" s="322" t="s">
        <v>170</v>
      </c>
      <c r="T10" s="310"/>
      <c r="U10" s="310"/>
      <c r="V10" s="67"/>
      <c r="W10" s="38"/>
      <c r="X10" s="38"/>
      <c r="Y10" s="38"/>
      <c r="Z10" s="38"/>
      <c r="AA10" s="67"/>
      <c r="AB10" s="38"/>
      <c r="AC10" s="67"/>
      <c r="AD10" s="38"/>
      <c r="AE10" s="38"/>
      <c r="AF10" s="38"/>
      <c r="AG10" s="38"/>
      <c r="AH10" s="38"/>
      <c r="AI10" s="38"/>
      <c r="AJ10" s="38"/>
      <c r="AK10" s="67"/>
      <c r="AL10" s="67"/>
      <c r="AM10" s="195"/>
      <c r="AN10" s="108" t="s">
        <v>15</v>
      </c>
      <c r="AO10" s="67" t="s">
        <v>13</v>
      </c>
      <c r="AP10" s="109">
        <f>IF(C9&gt;=C11,C13+AT14,C13-AT14)</f>
        <v>8.3999999999999986</v>
      </c>
      <c r="AQ10" s="67" t="s">
        <v>1</v>
      </c>
      <c r="AR10" s="110" t="s">
        <v>17</v>
      </c>
      <c r="AS10" s="67" t="s">
        <v>13</v>
      </c>
      <c r="AT10" s="111">
        <f>IF(C9&gt;=C11,C15-AT14,C15+AT14)</f>
        <v>7.7000000000000011</v>
      </c>
      <c r="AU10" s="67" t="s">
        <v>1</v>
      </c>
      <c r="AV10" s="67"/>
      <c r="AW10" s="67"/>
      <c r="AX10" s="195"/>
      <c r="AY10" s="103"/>
      <c r="AZ10" s="38"/>
      <c r="BA10" s="38"/>
      <c r="BB10" s="38"/>
      <c r="BC10" s="38"/>
      <c r="BD10" s="67"/>
      <c r="BE10" s="38"/>
      <c r="BF10" s="38"/>
      <c r="BG10" s="38"/>
      <c r="BH10" s="38"/>
      <c r="BI10" s="38"/>
      <c r="BJ10" s="38"/>
      <c r="BK10" s="38"/>
      <c r="BL10" s="73"/>
      <c r="BM10" s="67"/>
      <c r="BN10" s="67"/>
      <c r="BO10" s="67"/>
      <c r="BP10" s="67"/>
      <c r="BQ10" s="67"/>
      <c r="BR10" s="67"/>
      <c r="BS10" s="67"/>
      <c r="BT10" s="67"/>
      <c r="BU10" s="67"/>
      <c r="BV10" s="67"/>
    </row>
    <row r="11" spans="1:75" ht="14.1" customHeight="1" x14ac:dyDescent="0.2">
      <c r="A11" s="313"/>
      <c r="B11" s="83" t="s">
        <v>7</v>
      </c>
      <c r="C11" s="204">
        <v>7.51</v>
      </c>
      <c r="D11" s="83" t="s">
        <v>1</v>
      </c>
      <c r="E11" s="67"/>
      <c r="F11" s="67"/>
      <c r="G11" s="67"/>
      <c r="H11" s="67"/>
      <c r="I11" s="67"/>
      <c r="J11" s="67"/>
      <c r="K11" s="67"/>
      <c r="L11" s="67"/>
      <c r="M11" s="313"/>
      <c r="N11" s="311" t="s">
        <v>32</v>
      </c>
      <c r="O11" s="312">
        <f>C4/(1-C7/1000*C4)</f>
        <v>-2.4038461538461537</v>
      </c>
      <c r="P11" s="310" t="s">
        <v>37</v>
      </c>
      <c r="Q11" s="310"/>
      <c r="R11" s="313"/>
      <c r="S11" s="313"/>
      <c r="T11" s="314">
        <f>O11+O12</f>
        <v>-4.8431734317343169</v>
      </c>
      <c r="U11" s="310"/>
      <c r="V11" s="72"/>
      <c r="W11" s="72"/>
      <c r="X11" s="72"/>
      <c r="Y11" s="72"/>
      <c r="Z11" s="72"/>
      <c r="AA11" s="72"/>
      <c r="AB11" s="38"/>
      <c r="AC11" s="67"/>
      <c r="AD11" s="38"/>
      <c r="AE11" s="38"/>
      <c r="AF11" s="38"/>
      <c r="AG11" s="38"/>
      <c r="AH11" s="38"/>
      <c r="AI11" s="38"/>
      <c r="AJ11" s="38"/>
      <c r="AK11" s="67"/>
      <c r="AL11" s="67"/>
      <c r="AM11" s="195"/>
      <c r="AN11" s="108" t="s">
        <v>16</v>
      </c>
      <c r="AO11" s="67" t="s">
        <v>13</v>
      </c>
      <c r="AP11" s="109">
        <f>IF(C9&gt;=C11,C14+AT14,C14-AT14)</f>
        <v>8.3999999999999986</v>
      </c>
      <c r="AQ11" s="67" t="s">
        <v>1</v>
      </c>
      <c r="AR11" s="110" t="s">
        <v>18</v>
      </c>
      <c r="AS11" s="67" t="s">
        <v>13</v>
      </c>
      <c r="AT11" s="111">
        <f>IF(C9&gt;=C11,C16-AT14,C16+AT14)</f>
        <v>7.7000000000000011</v>
      </c>
      <c r="AU11" s="67" t="s">
        <v>1</v>
      </c>
      <c r="AV11" s="67"/>
      <c r="AW11" s="67"/>
      <c r="AX11" s="195"/>
      <c r="AY11" s="67"/>
      <c r="AZ11" s="38"/>
      <c r="BA11" s="38"/>
      <c r="BB11" s="38"/>
      <c r="BC11" s="38"/>
      <c r="BD11" s="67"/>
      <c r="BE11" s="38"/>
      <c r="BF11" s="38"/>
      <c r="BG11" s="38"/>
      <c r="BH11" s="38"/>
      <c r="BI11" s="38"/>
      <c r="BJ11" s="38"/>
      <c r="BK11" s="38"/>
      <c r="BL11" s="73"/>
      <c r="BM11" s="79"/>
      <c r="BN11" s="67"/>
      <c r="BO11" s="67"/>
      <c r="BP11" s="67"/>
      <c r="BQ11" s="67"/>
      <c r="BR11" s="67"/>
      <c r="BS11" s="67"/>
      <c r="BT11" s="79"/>
      <c r="BU11" s="67"/>
      <c r="BV11" s="67"/>
    </row>
    <row r="12" spans="1:75" ht="15" customHeight="1" x14ac:dyDescent="0.2">
      <c r="A12" s="313"/>
      <c r="B12" s="83" t="s">
        <v>41</v>
      </c>
      <c r="C12" s="207">
        <v>30</v>
      </c>
      <c r="D12" s="83" t="s">
        <v>4</v>
      </c>
      <c r="E12" s="67"/>
      <c r="F12" s="67"/>
      <c r="G12" s="112" t="s">
        <v>109</v>
      </c>
      <c r="H12" s="113">
        <f>IF(AR3="Rectus",O13,T13)</f>
        <v>0</v>
      </c>
      <c r="I12" s="114">
        <f>IF(H12&gt;90,H12-90,H12+90)</f>
        <v>90</v>
      </c>
      <c r="J12" s="67"/>
      <c r="K12" s="67"/>
      <c r="L12" s="67"/>
      <c r="M12" s="313"/>
      <c r="N12" s="311" t="s">
        <v>138</v>
      </c>
      <c r="O12" s="312">
        <f>(C4+C5)/(1-C7/1000*(C4+C5))-O11</f>
        <v>-2.4393272778881632</v>
      </c>
      <c r="P12" s="310" t="s">
        <v>37</v>
      </c>
      <c r="Q12" s="310"/>
      <c r="R12" s="313"/>
      <c r="S12" s="313"/>
      <c r="T12" s="314">
        <f>O12*(-1)</f>
        <v>2.4393272778881632</v>
      </c>
      <c r="U12" s="310"/>
      <c r="V12" s="72"/>
      <c r="W12" s="72"/>
      <c r="X12" s="72"/>
      <c r="Y12" s="72"/>
      <c r="Z12" s="72"/>
      <c r="AA12" s="72"/>
      <c r="AB12" s="38"/>
      <c r="AC12" s="67"/>
      <c r="AD12" s="38"/>
      <c r="AE12" s="38"/>
      <c r="AF12" s="38"/>
      <c r="AG12" s="38"/>
      <c r="AH12" s="38"/>
      <c r="AI12" s="38"/>
      <c r="AJ12" s="38"/>
      <c r="AK12" s="67"/>
      <c r="AL12" s="67"/>
      <c r="AM12" s="195"/>
      <c r="AN12" s="73" t="s">
        <v>20</v>
      </c>
      <c r="AO12" s="67" t="s">
        <v>13</v>
      </c>
      <c r="AP12" s="115">
        <f>(C9+C11)/2</f>
        <v>7.81</v>
      </c>
      <c r="AQ12" s="67" t="s">
        <v>1</v>
      </c>
      <c r="AR12" s="73" t="s">
        <v>12</v>
      </c>
      <c r="AS12" s="67" t="s">
        <v>13</v>
      </c>
      <c r="AT12" s="111">
        <f>IF(C9&gt;=C11,C9,C11)</f>
        <v>8.11</v>
      </c>
      <c r="AU12" s="116" t="s">
        <v>1</v>
      </c>
      <c r="AV12" s="38"/>
      <c r="AW12" s="38"/>
      <c r="AX12" s="191"/>
      <c r="AY12" s="107"/>
      <c r="AZ12" s="38"/>
      <c r="BA12" s="38"/>
      <c r="BB12" s="38"/>
      <c r="BC12" s="38"/>
      <c r="BD12" s="67"/>
      <c r="BE12" s="38"/>
      <c r="BF12" s="38"/>
      <c r="BG12" s="38"/>
      <c r="BH12" s="38"/>
      <c r="BI12" s="38"/>
      <c r="BJ12" s="38"/>
      <c r="BK12" s="38"/>
      <c r="BL12" s="73"/>
      <c r="BM12" s="67"/>
      <c r="BN12" s="67"/>
      <c r="BO12" s="67"/>
      <c r="BP12" s="67"/>
      <c r="BQ12" s="67"/>
      <c r="BR12" s="67"/>
      <c r="BS12" s="67"/>
      <c r="BT12" s="67"/>
      <c r="BU12" s="67"/>
      <c r="BV12" s="67"/>
    </row>
    <row r="13" spans="1:75" ht="15.75" customHeight="1" x14ac:dyDescent="0.2">
      <c r="A13" s="313"/>
      <c r="B13" s="83" t="s">
        <v>8</v>
      </c>
      <c r="C13" s="204">
        <v>7.8</v>
      </c>
      <c r="D13" s="83" t="s">
        <v>1</v>
      </c>
      <c r="E13" s="67"/>
      <c r="F13" s="67"/>
      <c r="G13" s="121" t="s">
        <v>97</v>
      </c>
      <c r="H13" s="122">
        <f>IF(AR3="Rectus",O11*-1,T11*-1)</f>
        <v>2.4038461538461537</v>
      </c>
      <c r="I13" s="123">
        <f>IF(AR3="Rectus",(O11+O12)*-1,(T11+T12)*-1)</f>
        <v>4.8431734317343169</v>
      </c>
      <c r="J13" s="67"/>
      <c r="K13" s="67"/>
      <c r="L13" s="67"/>
      <c r="M13" s="313"/>
      <c r="N13" s="315" t="s">
        <v>6</v>
      </c>
      <c r="O13" s="313">
        <f>C6</f>
        <v>0</v>
      </c>
      <c r="P13" s="310" t="s">
        <v>4</v>
      </c>
      <c r="Q13" s="310"/>
      <c r="R13" s="313"/>
      <c r="S13" s="313"/>
      <c r="T13" s="310">
        <f>IF(C6&gt;90,C6-90,C6+90)</f>
        <v>90</v>
      </c>
      <c r="U13" s="310" t="s">
        <v>4</v>
      </c>
      <c r="V13" s="72"/>
      <c r="W13" s="72"/>
      <c r="X13" s="72"/>
      <c r="Y13" s="72"/>
      <c r="Z13" s="72"/>
      <c r="AA13" s="72"/>
      <c r="AB13" s="38"/>
      <c r="AC13" s="67"/>
      <c r="AD13" s="38"/>
      <c r="AE13" s="38"/>
      <c r="AF13" s="38"/>
      <c r="AG13" s="38"/>
      <c r="AH13" s="38"/>
      <c r="AI13" s="38"/>
      <c r="AJ13" s="38"/>
      <c r="AK13" s="67"/>
      <c r="AL13" s="67"/>
      <c r="AM13" s="195"/>
      <c r="AN13" s="73" t="s">
        <v>21</v>
      </c>
      <c r="AO13" s="67" t="s">
        <v>13</v>
      </c>
      <c r="AP13" s="115">
        <f>SUM(C13:C16)/4</f>
        <v>8.0500000000000007</v>
      </c>
      <c r="AQ13" s="67" t="s">
        <v>1</v>
      </c>
      <c r="AR13" s="73" t="s">
        <v>14</v>
      </c>
      <c r="AS13" s="67" t="s">
        <v>13</v>
      </c>
      <c r="AT13" s="124">
        <f>IF(C9&gt;=C11,(C13+C14)/2+AT14,(C15+C16)/2+AT14)</f>
        <v>8.3999999999999986</v>
      </c>
      <c r="AU13" s="116" t="s">
        <v>1</v>
      </c>
      <c r="AV13" s="38"/>
      <c r="AW13" s="38"/>
      <c r="AX13" s="191"/>
      <c r="AY13" s="67"/>
      <c r="AZ13" s="38"/>
      <c r="BA13" s="38"/>
      <c r="BB13" s="38"/>
      <c r="BC13" s="38"/>
      <c r="BD13" s="67"/>
      <c r="BE13" s="38"/>
      <c r="BF13" s="38"/>
      <c r="BG13" s="38"/>
      <c r="BH13" s="38"/>
      <c r="BI13" s="38"/>
      <c r="BJ13" s="38"/>
      <c r="BK13" s="38"/>
      <c r="BL13" s="73"/>
      <c r="BM13" s="67"/>
      <c r="BN13" s="110"/>
      <c r="BO13" s="67"/>
      <c r="BP13" s="67"/>
      <c r="BQ13" s="67"/>
      <c r="BR13" s="67"/>
      <c r="BS13" s="67"/>
      <c r="BT13" s="73"/>
      <c r="BU13" s="93"/>
      <c r="BV13" s="67"/>
    </row>
    <row r="14" spans="1:75" ht="13.5" customHeight="1" x14ac:dyDescent="0.2">
      <c r="A14" s="313"/>
      <c r="B14" s="83" t="s">
        <v>9</v>
      </c>
      <c r="C14" s="204">
        <v>7.8</v>
      </c>
      <c r="D14" s="83" t="s">
        <v>1</v>
      </c>
      <c r="E14" s="67"/>
      <c r="F14" s="67"/>
      <c r="G14" s="121" t="str">
        <f>"+S'TL"</f>
        <v>+S'TL</v>
      </c>
      <c r="H14" s="122">
        <f>(C9-AT30)*5</f>
        <v>0.79999999999999627</v>
      </c>
      <c r="I14" s="125">
        <f>(C11-AT30)*5</f>
        <v>-2.200000000000002</v>
      </c>
      <c r="J14" s="67"/>
      <c r="K14" s="67"/>
      <c r="L14" s="67"/>
      <c r="M14" s="313"/>
      <c r="N14" s="315" t="s">
        <v>40</v>
      </c>
      <c r="O14" s="313">
        <v>0</v>
      </c>
      <c r="P14" s="310" t="s">
        <v>1</v>
      </c>
      <c r="Q14" s="310"/>
      <c r="R14" s="313"/>
      <c r="S14" s="313"/>
      <c r="T14" s="310"/>
      <c r="U14" s="310"/>
      <c r="V14" s="72"/>
      <c r="W14" s="72"/>
      <c r="X14" s="72"/>
      <c r="Y14" s="72"/>
      <c r="Z14" s="72"/>
      <c r="AA14" s="72"/>
      <c r="AB14" s="38"/>
      <c r="AC14" s="38"/>
      <c r="AD14" s="38"/>
      <c r="AE14" s="38"/>
      <c r="AF14" s="38"/>
      <c r="AG14" s="38"/>
      <c r="AH14" s="67"/>
      <c r="AI14" s="67"/>
      <c r="AJ14" s="67"/>
      <c r="AK14" s="67"/>
      <c r="AL14" s="67"/>
      <c r="AM14" s="195"/>
      <c r="AN14" s="82" t="s">
        <v>146</v>
      </c>
      <c r="AO14" s="82"/>
      <c r="AP14" s="98">
        <f>RADIANS(C12)</f>
        <v>0.52359877559829882</v>
      </c>
      <c r="AQ14" s="82"/>
      <c r="AR14" s="73" t="s">
        <v>63</v>
      </c>
      <c r="AS14" s="67" t="s">
        <v>13</v>
      </c>
      <c r="AT14" s="111">
        <f>IF(C9&gt;=C11,C9-C11,C11-C9)</f>
        <v>0.59999999999999964</v>
      </c>
      <c r="AU14" s="116" t="s">
        <v>1</v>
      </c>
      <c r="AV14" s="38"/>
      <c r="AW14" s="38"/>
      <c r="AX14" s="191"/>
      <c r="AY14" s="67"/>
      <c r="AZ14" s="38"/>
      <c r="BA14" s="38"/>
      <c r="BB14" s="38"/>
      <c r="BC14" s="38"/>
      <c r="BD14" s="67"/>
      <c r="BE14" s="38"/>
      <c r="BF14" s="38"/>
      <c r="BG14" s="38"/>
      <c r="BH14" s="38"/>
      <c r="BI14" s="38"/>
      <c r="BJ14" s="38"/>
      <c r="BK14" s="38"/>
      <c r="BL14" s="73"/>
      <c r="BM14" s="67"/>
      <c r="BN14" s="89"/>
      <c r="BO14" s="67"/>
      <c r="BP14" s="67"/>
      <c r="BQ14" s="67"/>
      <c r="BR14" s="67"/>
      <c r="BS14" s="67"/>
      <c r="BT14" s="73"/>
      <c r="BU14" s="93"/>
      <c r="BV14" s="67"/>
    </row>
    <row r="15" spans="1:75" ht="14.25" customHeight="1" x14ac:dyDescent="0.3">
      <c r="A15" s="313"/>
      <c r="B15" s="83" t="s">
        <v>10</v>
      </c>
      <c r="C15" s="204">
        <v>8.3000000000000007</v>
      </c>
      <c r="D15" s="83" t="s">
        <v>1</v>
      </c>
      <c r="E15" s="67"/>
      <c r="F15" s="67"/>
      <c r="G15" s="121" t="str">
        <f>"+S'KL"</f>
        <v>+S'KL</v>
      </c>
      <c r="H15" s="128">
        <f>(H13+H14)*-1</f>
        <v>-3.20384615384615</v>
      </c>
      <c r="I15" s="129">
        <f>(I13+I14)*-1</f>
        <v>-2.643173431734315</v>
      </c>
      <c r="J15" s="67"/>
      <c r="K15" s="67"/>
      <c r="L15" s="67"/>
      <c r="M15" s="313"/>
      <c r="N15" s="316" t="s">
        <v>139</v>
      </c>
      <c r="O15" s="313"/>
      <c r="P15" s="313"/>
      <c r="Q15" s="313"/>
      <c r="R15" s="313"/>
      <c r="S15" s="313"/>
      <c r="T15" s="310"/>
      <c r="U15" s="310"/>
      <c r="V15" s="72"/>
      <c r="W15" s="72"/>
      <c r="X15" s="72"/>
      <c r="Y15" s="72"/>
      <c r="Z15" s="72"/>
      <c r="AA15" s="72"/>
      <c r="AB15" s="38"/>
      <c r="AC15" s="38"/>
      <c r="AD15" s="67"/>
      <c r="AE15" s="67"/>
      <c r="AF15" s="67"/>
      <c r="AG15" s="67"/>
      <c r="AH15" s="67"/>
      <c r="AI15" s="67"/>
      <c r="AJ15" s="67"/>
      <c r="AK15" s="67"/>
      <c r="AL15" s="67"/>
      <c r="AM15" s="195"/>
      <c r="AN15" s="108" t="s">
        <v>29</v>
      </c>
      <c r="AO15" s="130">
        <f>C12</f>
        <v>30</v>
      </c>
      <c r="AP15" s="131">
        <f>IF(AP12&lt;AP13,1/SIN(AP14)*SQRT(1-(AP12*AP12)/(AP13*AP13)),1/SIN(AP14)*SQRT((AP12*AP12)/(AP13*AP13)-1)*(-1))</f>
        <v>0.48472043322264752</v>
      </c>
      <c r="AQ15" s="38"/>
      <c r="AR15" s="108" t="s">
        <v>148</v>
      </c>
      <c r="AS15" s="38" t="s">
        <v>13</v>
      </c>
      <c r="AT15" s="132">
        <f>IF(AO15&lt;30,ROUND(AP15+0.1,3),ROUND(AP15,3))</f>
        <v>0.48499999999999999</v>
      </c>
      <c r="AU15" s="38"/>
      <c r="AV15" s="38"/>
      <c r="AW15" s="38"/>
      <c r="AX15" s="191"/>
      <c r="AY15" s="38"/>
      <c r="AZ15" s="38"/>
      <c r="BA15" s="38"/>
      <c r="BB15" s="38"/>
      <c r="BC15" s="38"/>
      <c r="BD15" s="67"/>
      <c r="BE15" s="38"/>
      <c r="BF15" s="38"/>
      <c r="BG15" s="38"/>
      <c r="BH15" s="38"/>
      <c r="BI15" s="38"/>
      <c r="BJ15" s="38"/>
      <c r="BK15" s="38"/>
      <c r="BL15" s="73"/>
      <c r="BM15" s="67"/>
      <c r="BN15" s="67"/>
      <c r="BO15" s="67"/>
      <c r="BP15" s="67"/>
      <c r="BQ15" s="67"/>
      <c r="BR15" s="67"/>
      <c r="BS15" s="67"/>
      <c r="BT15" s="73"/>
      <c r="BU15" s="93"/>
      <c r="BV15" s="67"/>
    </row>
    <row r="16" spans="1:75" ht="14.1" customHeight="1" thickBot="1" x14ac:dyDescent="0.35">
      <c r="A16" s="313"/>
      <c r="B16" s="83" t="s">
        <v>11</v>
      </c>
      <c r="C16" s="208">
        <v>8.3000000000000007</v>
      </c>
      <c r="D16" s="83" t="s">
        <v>1</v>
      </c>
      <c r="E16" s="67"/>
      <c r="F16" s="67"/>
      <c r="G16" s="134" t="str">
        <f>"=GRD"</f>
        <v>=GRD</v>
      </c>
      <c r="H16" s="135">
        <v>0</v>
      </c>
      <c r="I16" s="136">
        <v>0</v>
      </c>
      <c r="J16" s="67"/>
      <c r="K16" s="67"/>
      <c r="L16" s="67"/>
      <c r="M16" s="313"/>
      <c r="N16" s="317" t="s">
        <v>140</v>
      </c>
      <c r="O16" s="317" t="str">
        <f>AR5</f>
        <v>normale</v>
      </c>
      <c r="P16" s="313" t="str">
        <f>AT5</f>
        <v>Zentralradien</v>
      </c>
      <c r="Q16" s="313"/>
      <c r="R16" s="313"/>
      <c r="S16" s="313"/>
      <c r="T16" s="310"/>
      <c r="U16" s="310"/>
      <c r="V16" s="72"/>
      <c r="W16" s="72"/>
      <c r="X16" s="72"/>
      <c r="Y16" s="72"/>
      <c r="Z16" s="72"/>
      <c r="AA16" s="72"/>
      <c r="AB16" s="38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195"/>
      <c r="AN16" s="108" t="s">
        <v>30</v>
      </c>
      <c r="AO16" s="130">
        <f>C12</f>
        <v>30</v>
      </c>
      <c r="AP16" s="131">
        <f>ROUND(IF(AT12&lt;AT13,1/SIN(AP14)*SQRT(1-(AT12*AT12)/(AT13*AT13)),1/SIN(AP14)*SQRT((AT12*AT12)/(AT13*AT13)-1)*(-1)),3)</f>
        <v>0.52100000000000002</v>
      </c>
      <c r="AQ16" s="38"/>
      <c r="AR16" s="108" t="s">
        <v>147</v>
      </c>
      <c r="AS16" s="38" t="s">
        <v>13</v>
      </c>
      <c r="AT16" s="132">
        <f>IF(AO16&lt;30,ROUND(AP16+0.1,3),ROUND(AP16,3))</f>
        <v>0.52100000000000002</v>
      </c>
      <c r="AU16" s="38"/>
      <c r="AV16" s="38"/>
      <c r="AW16" s="38"/>
      <c r="AX16" s="191"/>
      <c r="AY16" s="38"/>
      <c r="AZ16" s="67"/>
      <c r="BA16" s="67"/>
      <c r="BB16" s="67"/>
      <c r="BC16" s="67"/>
      <c r="BD16" s="67"/>
      <c r="BE16" s="38"/>
      <c r="BF16" s="38"/>
      <c r="BG16" s="38"/>
      <c r="BH16" s="38"/>
      <c r="BI16" s="38"/>
      <c r="BJ16" s="38"/>
      <c r="BK16" s="38"/>
      <c r="BL16" s="73"/>
      <c r="BM16" s="67"/>
      <c r="BN16" s="67"/>
      <c r="BO16" s="67"/>
      <c r="BP16" s="67"/>
      <c r="BQ16" s="67"/>
      <c r="BR16" s="137"/>
      <c r="BS16" s="67"/>
      <c r="BT16" s="73"/>
      <c r="BU16" s="93"/>
      <c r="BV16" s="67"/>
    </row>
    <row r="17" spans="1:74" x14ac:dyDescent="0.2">
      <c r="A17" s="313"/>
      <c r="B17" s="83"/>
      <c r="C17" s="38"/>
      <c r="D17" s="83"/>
      <c r="E17" s="67"/>
      <c r="F17" s="67"/>
      <c r="G17" s="67"/>
      <c r="H17" s="67"/>
      <c r="I17" s="67"/>
      <c r="J17" s="67"/>
      <c r="K17" s="67"/>
      <c r="L17" s="67"/>
      <c r="M17" s="313"/>
      <c r="N17" s="317" t="s">
        <v>158</v>
      </c>
      <c r="O17" s="317" t="str">
        <f>AR6</f>
        <v>stark</v>
      </c>
      <c r="P17" s="313" t="str">
        <f>AT6</f>
        <v>torische Hornhaut</v>
      </c>
      <c r="Q17" s="313"/>
      <c r="R17" s="313"/>
      <c r="S17" s="313"/>
      <c r="T17" s="310"/>
      <c r="U17" s="310"/>
      <c r="V17" s="72"/>
      <c r="W17" s="72"/>
      <c r="X17" s="72"/>
      <c r="Y17" s="72"/>
      <c r="Z17" s="72"/>
      <c r="AA17" s="72"/>
      <c r="AB17" s="38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195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191"/>
      <c r="AY17" s="69"/>
      <c r="AZ17" s="67"/>
      <c r="BA17" s="67"/>
      <c r="BB17" s="67"/>
      <c r="BC17" s="67"/>
      <c r="BD17" s="67"/>
      <c r="BE17" s="38"/>
      <c r="BF17" s="38"/>
      <c r="BG17" s="38"/>
      <c r="BH17" s="38"/>
      <c r="BI17" s="38"/>
      <c r="BJ17" s="38"/>
      <c r="BK17" s="38"/>
      <c r="BL17" s="73"/>
      <c r="BM17" s="67"/>
      <c r="BN17" s="67"/>
      <c r="BO17" s="67"/>
      <c r="BP17" s="67"/>
      <c r="BQ17" s="67"/>
      <c r="BR17" s="137"/>
      <c r="BS17" s="67"/>
      <c r="BT17" s="73"/>
      <c r="BU17" s="93"/>
      <c r="BV17" s="67"/>
    </row>
    <row r="18" spans="1:74" x14ac:dyDescent="0.2">
      <c r="A18" s="313"/>
      <c r="B18" s="74" t="s">
        <v>136</v>
      </c>
      <c r="C18" s="69"/>
      <c r="D18" s="83"/>
      <c r="E18" s="67"/>
      <c r="F18" s="67"/>
      <c r="G18" s="67"/>
      <c r="H18" s="67"/>
      <c r="I18" s="67"/>
      <c r="J18" s="67"/>
      <c r="K18" s="67"/>
      <c r="L18" s="67"/>
      <c r="M18" s="313"/>
      <c r="N18" s="311" t="s">
        <v>141</v>
      </c>
      <c r="O18" s="312">
        <f>AT7</f>
        <v>-3.5999999999999979</v>
      </c>
      <c r="P18" s="313">
        <f>AU7</f>
        <v>0</v>
      </c>
      <c r="Q18" s="313"/>
      <c r="R18" s="313" t="s">
        <v>4</v>
      </c>
      <c r="S18" s="313"/>
      <c r="T18" s="310"/>
      <c r="U18" s="310"/>
      <c r="V18" s="72"/>
      <c r="W18" s="72"/>
      <c r="X18" s="72"/>
      <c r="Y18" s="72"/>
      <c r="Z18" s="72"/>
      <c r="AA18" s="72"/>
      <c r="AB18" s="38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195"/>
      <c r="AN18" s="93" t="s">
        <v>162</v>
      </c>
      <c r="AO18" s="67"/>
      <c r="AP18" s="67"/>
      <c r="AQ18" s="67"/>
      <c r="AR18" s="67"/>
      <c r="AS18" s="89"/>
      <c r="AT18" s="67"/>
      <c r="AU18" s="67"/>
      <c r="AV18" s="67"/>
      <c r="AW18" s="67"/>
      <c r="AX18" s="195"/>
      <c r="AY18" s="139" t="s">
        <v>2</v>
      </c>
      <c r="AZ18" s="38"/>
      <c r="BA18" s="38"/>
      <c r="BB18" s="38"/>
      <c r="BC18" s="38"/>
      <c r="BD18" s="67"/>
      <c r="BE18" s="38"/>
      <c r="BF18" s="38"/>
      <c r="BG18" s="38"/>
      <c r="BH18" s="38"/>
      <c r="BI18" s="38"/>
      <c r="BJ18" s="38"/>
      <c r="BK18" s="38"/>
      <c r="BL18" s="73"/>
      <c r="BM18" s="67"/>
      <c r="BN18" s="67"/>
      <c r="BO18" s="67"/>
      <c r="BP18" s="67"/>
      <c r="BQ18" s="67"/>
      <c r="BR18" s="67"/>
      <c r="BS18" s="67"/>
      <c r="BT18" s="67"/>
      <c r="BU18" s="67"/>
      <c r="BV18" s="67"/>
    </row>
    <row r="19" spans="1:74" ht="16.5" customHeight="1" x14ac:dyDescent="0.3">
      <c r="A19" s="313"/>
      <c r="B19" s="83" t="s">
        <v>38</v>
      </c>
      <c r="C19" s="209">
        <v>10</v>
      </c>
      <c r="D19" s="83" t="s">
        <v>1</v>
      </c>
      <c r="E19" s="67"/>
      <c r="F19" s="67"/>
      <c r="G19" s="108" t="s">
        <v>148</v>
      </c>
      <c r="H19" s="100" t="s">
        <v>13</v>
      </c>
      <c r="I19" s="132">
        <f>AT15</f>
        <v>0.48499999999999999</v>
      </c>
      <c r="J19" s="67"/>
      <c r="K19" s="67"/>
      <c r="L19" s="67"/>
      <c r="M19" s="313"/>
      <c r="N19" s="311" t="s">
        <v>142</v>
      </c>
      <c r="O19" s="312">
        <f>AP8</f>
        <v>-2.4393272778881632</v>
      </c>
      <c r="P19" s="313">
        <f>AQ8</f>
        <v>0</v>
      </c>
      <c r="Q19" s="313"/>
      <c r="R19" s="313" t="s">
        <v>4</v>
      </c>
      <c r="S19" s="313"/>
      <c r="T19" s="310"/>
      <c r="U19" s="310"/>
      <c r="V19" s="72"/>
      <c r="W19" s="72"/>
      <c r="X19" s="72"/>
      <c r="Y19" s="72"/>
      <c r="Z19" s="72"/>
      <c r="AA19" s="72"/>
      <c r="AB19" s="38"/>
      <c r="AC19" s="67"/>
      <c r="AD19" s="38"/>
      <c r="AE19" s="38"/>
      <c r="AF19" s="38"/>
      <c r="AG19" s="38"/>
      <c r="AH19" s="38"/>
      <c r="AI19" s="38"/>
      <c r="AJ19" s="38"/>
      <c r="AK19" s="38"/>
      <c r="AL19" s="38"/>
      <c r="AM19" s="191"/>
      <c r="AN19" s="108" t="s">
        <v>148</v>
      </c>
      <c r="AO19" s="67" t="s">
        <v>13</v>
      </c>
      <c r="AP19" s="132">
        <f>AT15</f>
        <v>0.48499999999999999</v>
      </c>
      <c r="AQ19" s="140" t="s">
        <v>47</v>
      </c>
      <c r="AR19" s="67"/>
      <c r="AS19" s="89" t="str">
        <f>IF(AP15&lt;0.3,IF(AP15&lt;0,"versteilende Hornhaut","geringe HH-Abflachung"),IF(AP15&gt;0.7,"starke Abflachung /Keratokonus?","normale HH-Abflachung"))</f>
        <v>normale HH-Abflachung</v>
      </c>
      <c r="AT19" s="67"/>
      <c r="AU19" s="67"/>
      <c r="AV19" s="67"/>
      <c r="AW19" s="67"/>
      <c r="AX19" s="191"/>
      <c r="AY19" s="69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73"/>
      <c r="BM19" s="67"/>
      <c r="BN19" s="67"/>
      <c r="BO19" s="67"/>
      <c r="BP19" s="93"/>
      <c r="BQ19" s="141"/>
      <c r="BR19" s="142"/>
      <c r="BS19" s="67"/>
      <c r="BT19" s="73"/>
      <c r="BU19" s="143"/>
      <c r="BV19" s="67"/>
    </row>
    <row r="20" spans="1:74" ht="14.25" customHeight="1" x14ac:dyDescent="0.3">
      <c r="A20" s="313"/>
      <c r="B20" s="83" t="s">
        <v>133</v>
      </c>
      <c r="C20" s="210">
        <v>12</v>
      </c>
      <c r="D20" s="83" t="s">
        <v>1</v>
      </c>
      <c r="E20" s="67"/>
      <c r="F20" s="67"/>
      <c r="G20" s="108" t="s">
        <v>147</v>
      </c>
      <c r="H20" s="100" t="s">
        <v>13</v>
      </c>
      <c r="I20" s="132">
        <f>AT16</f>
        <v>0.52100000000000002</v>
      </c>
      <c r="J20" s="67"/>
      <c r="K20" s="67"/>
      <c r="L20" s="67"/>
      <c r="M20" s="313"/>
      <c r="N20" s="318" t="s">
        <v>143</v>
      </c>
      <c r="O20" s="312">
        <f>AT8</f>
        <v>1.1606727221118347</v>
      </c>
      <c r="P20" s="313">
        <f>AU8</f>
        <v>0</v>
      </c>
      <c r="Q20" s="313"/>
      <c r="R20" s="313" t="s">
        <v>4</v>
      </c>
      <c r="S20" s="313"/>
      <c r="T20" s="310"/>
      <c r="U20" s="310"/>
      <c r="V20" s="72"/>
      <c r="W20" s="72"/>
      <c r="X20" s="72"/>
      <c r="Y20" s="72"/>
      <c r="Z20" s="72"/>
      <c r="AA20" s="72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191"/>
      <c r="AN20" s="108" t="s">
        <v>28</v>
      </c>
      <c r="AO20" s="67" t="s">
        <v>13</v>
      </c>
      <c r="AP20" s="100">
        <f>IF(AT15&gt;=0.3,((INT(AT15*10))+1)/10,IF(AT15&lt;(-0.299),(INT(AT15*10)+1)/10,0))</f>
        <v>0.5</v>
      </c>
      <c r="AQ20" s="140" t="s">
        <v>47</v>
      </c>
      <c r="AR20" s="67"/>
      <c r="AS20" s="89" t="s">
        <v>35</v>
      </c>
      <c r="AT20" s="67"/>
      <c r="AU20" s="89" t="str">
        <f>IF(AP15&lt;0.3,IF(AP15&lt;(-0.299),"oblonge Geometrie","sphärische Geometrie"),"asphärische Geometrie")</f>
        <v>asphärische Geometrie</v>
      </c>
      <c r="AV20" s="67"/>
      <c r="AW20" s="67"/>
      <c r="AX20" s="195"/>
      <c r="AY20" s="139" t="s">
        <v>2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73"/>
      <c r="BM20" s="67"/>
      <c r="BN20" s="67"/>
      <c r="BO20" s="67"/>
      <c r="BP20" s="67"/>
      <c r="BQ20" s="67"/>
      <c r="BR20" s="67"/>
      <c r="BS20" s="67"/>
      <c r="BT20" s="67"/>
      <c r="BU20" s="67"/>
      <c r="BV20" s="67"/>
    </row>
    <row r="21" spans="1:74" x14ac:dyDescent="0.2">
      <c r="A21" s="313"/>
      <c r="B21" s="83" t="s">
        <v>134</v>
      </c>
      <c r="C21" s="211">
        <v>10.9</v>
      </c>
      <c r="D21" s="83" t="s">
        <v>1</v>
      </c>
      <c r="E21" s="67"/>
      <c r="F21" s="67"/>
      <c r="G21" s="108" t="s">
        <v>197</v>
      </c>
      <c r="H21" s="99" t="s">
        <v>196</v>
      </c>
      <c r="I21" s="67" t="str">
        <f>AQ29</f>
        <v>Steilanpassung  (RS-Linse)</v>
      </c>
      <c r="J21" s="67"/>
      <c r="K21" s="67"/>
      <c r="L21" s="67"/>
      <c r="M21" s="313"/>
      <c r="N21" s="317" t="s">
        <v>144</v>
      </c>
      <c r="O21" s="313" t="str">
        <f>AU9</f>
        <v>RT - rücktorische HL / BTX</v>
      </c>
      <c r="P21" s="313"/>
      <c r="Q21" s="313"/>
      <c r="R21" s="313"/>
      <c r="S21" s="313"/>
      <c r="T21" s="313"/>
      <c r="U21" s="311" t="str">
        <f>IF(AU9="RT-rücktorische HL",IF(O20=O18/3,"(RT-Vollkorrektion)","(BTX)"),IF(AU9="torische Weichlinse",IF(ABS(C5)&lt;3,"(Standard)","(individuell)"),""))</f>
        <v/>
      </c>
      <c r="V21" s="72"/>
      <c r="W21" s="72"/>
      <c r="X21" s="72"/>
      <c r="Y21" s="72"/>
      <c r="Z21" s="72"/>
      <c r="AA21" s="72"/>
      <c r="AB21" s="38"/>
      <c r="AC21" s="38"/>
      <c r="AD21" s="67"/>
      <c r="AE21" s="67"/>
      <c r="AF21" s="67"/>
      <c r="AG21" s="67"/>
      <c r="AH21" s="67"/>
      <c r="AI21" s="67"/>
      <c r="AJ21" s="67"/>
      <c r="AK21" s="67"/>
      <c r="AL21" s="67"/>
      <c r="AM21" s="195"/>
      <c r="AN21" s="93"/>
      <c r="AO21" s="67"/>
      <c r="AP21" s="67"/>
      <c r="AQ21" s="67"/>
      <c r="AR21" s="67"/>
      <c r="AS21" s="67"/>
      <c r="AT21" s="67"/>
      <c r="AU21" s="67"/>
      <c r="AV21" s="67"/>
      <c r="AW21" s="67"/>
      <c r="AX21" s="195"/>
      <c r="AY21" s="139" t="s">
        <v>2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73"/>
      <c r="BM21" s="67"/>
      <c r="BN21" s="67"/>
      <c r="BO21" s="67"/>
      <c r="BP21" s="67"/>
      <c r="BQ21" s="67"/>
      <c r="BR21" s="67"/>
      <c r="BS21" s="67"/>
      <c r="BT21" s="67"/>
      <c r="BU21" s="67"/>
      <c r="BV21" s="67"/>
    </row>
    <row r="22" spans="1:74" ht="18.75" x14ac:dyDescent="0.3">
      <c r="A22" s="313"/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5" t="s">
        <v>193</v>
      </c>
      <c r="O22" s="319">
        <f>AT15</f>
        <v>0.48499999999999999</v>
      </c>
      <c r="P22" s="320" t="s">
        <v>47</v>
      </c>
      <c r="Q22" s="320"/>
      <c r="R22" s="313" t="str">
        <f>AS19</f>
        <v>normale HH-Abflachung</v>
      </c>
      <c r="S22" s="313"/>
      <c r="T22" s="310"/>
      <c r="U22" s="310"/>
      <c r="V22" s="38"/>
      <c r="W22" s="38"/>
      <c r="X22" s="38"/>
      <c r="Y22" s="38"/>
      <c r="Z22" s="38"/>
      <c r="AA22" s="38"/>
      <c r="AB22" s="38"/>
      <c r="AC22" s="38"/>
      <c r="AD22" s="67"/>
      <c r="AE22" s="67"/>
      <c r="AF22" s="67"/>
      <c r="AG22" s="67"/>
      <c r="AH22" s="67"/>
      <c r="AI22" s="67"/>
      <c r="AJ22" s="67"/>
      <c r="AK22" s="67"/>
      <c r="AL22" s="67"/>
      <c r="AM22" s="195"/>
      <c r="AN22" s="93" t="s">
        <v>163</v>
      </c>
      <c r="AO22" s="67"/>
      <c r="AP22" s="67"/>
      <c r="AQ22" s="67"/>
      <c r="AR22" s="67"/>
      <c r="AS22" s="67"/>
      <c r="AT22" s="67"/>
      <c r="AU22" s="67"/>
      <c r="AV22" s="67"/>
      <c r="AW22" s="67"/>
      <c r="AX22" s="195"/>
      <c r="AY22" s="69" t="s">
        <v>2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73"/>
      <c r="BM22" s="67"/>
      <c r="BN22" s="93"/>
      <c r="BO22" s="67"/>
      <c r="BP22" s="67"/>
      <c r="BQ22" s="67"/>
      <c r="BR22" s="145"/>
      <c r="BS22" s="73"/>
      <c r="BT22" s="67"/>
      <c r="BU22" s="67"/>
      <c r="BV22" s="67"/>
    </row>
    <row r="23" spans="1:74" ht="18.75" x14ac:dyDescent="0.3">
      <c r="A23" s="38"/>
      <c r="B23" s="78" t="s">
        <v>153</v>
      </c>
      <c r="C23" s="67"/>
      <c r="D23" s="38"/>
      <c r="E23" s="73"/>
      <c r="F23" s="67"/>
      <c r="G23" s="67"/>
      <c r="H23" s="67"/>
      <c r="I23" s="67"/>
      <c r="J23" s="67"/>
      <c r="K23" s="67"/>
      <c r="L23" s="67"/>
      <c r="M23" s="38"/>
      <c r="N23" s="315" t="s">
        <v>194</v>
      </c>
      <c r="O23" s="319">
        <f>AT16</f>
        <v>0.52100000000000002</v>
      </c>
      <c r="P23" s="320" t="s">
        <v>47</v>
      </c>
      <c r="Q23" s="320"/>
      <c r="R23" s="313" t="str">
        <f>AQ29</f>
        <v>Steilanpassung  (RS-Linse)</v>
      </c>
      <c r="S23" s="313"/>
      <c r="T23" s="310"/>
      <c r="U23" s="310"/>
      <c r="V23" s="38"/>
      <c r="W23" s="38"/>
      <c r="X23" s="38"/>
      <c r="Y23" s="38"/>
      <c r="Z23" s="38"/>
      <c r="AA23" s="38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195"/>
      <c r="AN23" s="108" t="s">
        <v>149</v>
      </c>
      <c r="AO23" s="67" t="s">
        <v>13</v>
      </c>
      <c r="AP23" s="132">
        <f>AT16</f>
        <v>0.52100000000000002</v>
      </c>
      <c r="AQ23" s="67"/>
      <c r="AR23" s="67"/>
      <c r="AS23" s="108" t="s">
        <v>28</v>
      </c>
      <c r="AT23" s="67" t="s">
        <v>13</v>
      </c>
      <c r="AU23" s="89">
        <f>AP20</f>
        <v>0.5</v>
      </c>
      <c r="AV23" s="73" t="s">
        <v>160</v>
      </c>
      <c r="AW23" s="146">
        <f>IF(AU23=0,0,AU23*10)</f>
        <v>5</v>
      </c>
      <c r="AX23" s="195"/>
      <c r="AY23" s="69" t="s">
        <v>2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73"/>
      <c r="BM23" s="67"/>
      <c r="BN23" s="67"/>
      <c r="BO23" s="67"/>
      <c r="BP23" s="67"/>
      <c r="BQ23" s="67"/>
      <c r="BR23" s="67"/>
      <c r="BS23" s="73"/>
      <c r="BT23" s="67"/>
      <c r="BU23" s="67"/>
      <c r="BV23" s="67"/>
    </row>
    <row r="24" spans="1:74" x14ac:dyDescent="0.2">
      <c r="A24" s="38"/>
      <c r="B24" s="212" t="s">
        <v>3</v>
      </c>
      <c r="C24" s="213">
        <f>AW23</f>
        <v>5</v>
      </c>
      <c r="D24" s="214" t="s">
        <v>95</v>
      </c>
      <c r="E24" s="215">
        <f>AT30</f>
        <v>7.95</v>
      </c>
      <c r="F24" s="213" t="s">
        <v>151</v>
      </c>
      <c r="G24" s="215">
        <f>AV30</f>
        <v>-3</v>
      </c>
      <c r="H24" s="216">
        <f>O28</f>
        <v>9.4</v>
      </c>
      <c r="I24" s="217" t="s">
        <v>96</v>
      </c>
      <c r="J24" s="67"/>
      <c r="K24" s="72"/>
      <c r="L24" s="67"/>
      <c r="M24" s="67"/>
      <c r="N24" s="315"/>
      <c r="O24" s="319"/>
      <c r="P24" s="320"/>
      <c r="Q24" s="320"/>
      <c r="R24" s="313"/>
      <c r="S24" s="313"/>
      <c r="T24" s="310"/>
      <c r="U24" s="310"/>
      <c r="V24" s="67"/>
      <c r="W24" s="67"/>
      <c r="X24" s="67"/>
      <c r="Y24" s="67"/>
      <c r="Z24" s="67"/>
      <c r="AA24" s="67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95"/>
      <c r="AN24" s="38"/>
      <c r="AO24" s="119"/>
      <c r="AP24" s="38" t="s">
        <v>2</v>
      </c>
      <c r="AQ24" s="38"/>
      <c r="AR24" s="67"/>
      <c r="AS24" s="108" t="str">
        <f>IF(AU23&lt;&gt;0,"ro (Gleichlauf)","ro (Parallel)")</f>
        <v>ro (Gleichlauf)</v>
      </c>
      <c r="AT24" s="67" t="s">
        <v>13</v>
      </c>
      <c r="AU24" s="147">
        <f>IF(AU20="asphärische Geometrie",AT12-(AP20-AT16)*0.7,IF(AU20="oblonge Geometrie",AT12-(AP20-AT16)*0.7,AT12))</f>
        <v>8.1246999999999989</v>
      </c>
      <c r="AV24" s="119" t="s">
        <v>1</v>
      </c>
      <c r="AW24" s="237">
        <f>MROUND(AU24,0.05)</f>
        <v>8.1</v>
      </c>
      <c r="AX24" s="195"/>
      <c r="AY24" s="69" t="s">
        <v>2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73"/>
      <c r="BM24" s="67"/>
      <c r="BN24" s="67"/>
      <c r="BO24" s="67"/>
      <c r="BP24" s="67"/>
      <c r="BQ24" s="67"/>
      <c r="BR24" s="145"/>
      <c r="BS24" s="73"/>
      <c r="BT24" s="67"/>
      <c r="BU24" s="67"/>
      <c r="BV24" s="67"/>
    </row>
    <row r="25" spans="1:74" x14ac:dyDescent="0.2">
      <c r="A25" s="38"/>
      <c r="B25" s="218" t="s">
        <v>199</v>
      </c>
      <c r="C25" s="219">
        <f>AP31</f>
        <v>6</v>
      </c>
      <c r="D25" s="220" t="s">
        <v>95</v>
      </c>
      <c r="E25" s="221">
        <f>AT31</f>
        <v>7.9</v>
      </c>
      <c r="F25" s="219" t="s">
        <v>151</v>
      </c>
      <c r="G25" s="221">
        <f>AV31</f>
        <v>-3.25</v>
      </c>
      <c r="H25" s="222">
        <f>O28</f>
        <v>9.4</v>
      </c>
      <c r="I25" s="223" t="s">
        <v>96</v>
      </c>
      <c r="J25" s="119"/>
      <c r="K25" s="72"/>
      <c r="L25" s="67"/>
      <c r="M25" s="67"/>
      <c r="N25" s="317"/>
      <c r="O25" s="313"/>
      <c r="P25" s="313"/>
      <c r="Q25" s="313"/>
      <c r="R25" s="313"/>
      <c r="S25" s="313"/>
      <c r="T25" s="310"/>
      <c r="U25" s="310"/>
      <c r="V25" s="103"/>
      <c r="W25" s="103"/>
      <c r="X25" s="103"/>
      <c r="Y25" s="103"/>
      <c r="Z25" s="103"/>
      <c r="AA25" s="103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195"/>
      <c r="AN25" s="93" t="s">
        <v>164</v>
      </c>
      <c r="AO25" s="67"/>
      <c r="AP25" s="148"/>
      <c r="AQ25" s="67"/>
      <c r="AR25" s="67"/>
      <c r="AS25" s="73" t="str">
        <f>IF(C19&lt;9,"kleine",IF(C19&gt;11,"große","normale"))</f>
        <v>normale</v>
      </c>
      <c r="AT25" s="67" t="s">
        <v>66</v>
      </c>
      <c r="AU25" s="38"/>
      <c r="AV25" s="67"/>
      <c r="AW25" s="67"/>
      <c r="AX25" s="195"/>
      <c r="AY25" s="69" t="s">
        <v>2</v>
      </c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73"/>
      <c r="BM25" s="67"/>
      <c r="BN25" s="67"/>
      <c r="BO25" s="67"/>
      <c r="BP25" s="67"/>
      <c r="BQ25" s="67"/>
      <c r="BR25" s="67"/>
      <c r="BS25" s="67"/>
      <c r="BT25" s="67"/>
      <c r="BU25" s="67"/>
      <c r="BV25" s="67"/>
    </row>
    <row r="26" spans="1:74" x14ac:dyDescent="0.2">
      <c r="A26" s="38"/>
      <c r="B26" s="78" t="s">
        <v>156</v>
      </c>
      <c r="C26" s="38"/>
      <c r="D26" s="38"/>
      <c r="E26" s="133"/>
      <c r="F26" s="38"/>
      <c r="G26" s="133"/>
      <c r="H26" s="38"/>
      <c r="I26" s="38"/>
      <c r="J26" s="38"/>
      <c r="K26" s="72"/>
      <c r="L26" s="38"/>
      <c r="M26" s="67"/>
      <c r="N26" s="317" t="s">
        <v>145</v>
      </c>
      <c r="O26" s="317" t="str">
        <f>AS25</f>
        <v>normale</v>
      </c>
      <c r="P26" s="313" t="str">
        <f>AT25</f>
        <v>Lidspaltenhöhe</v>
      </c>
      <c r="Q26" s="313"/>
      <c r="R26" s="313"/>
      <c r="S26" s="313"/>
      <c r="T26" s="310"/>
      <c r="U26" s="310"/>
      <c r="V26" s="67"/>
      <c r="W26" s="67"/>
      <c r="X26" s="67"/>
      <c r="Y26" s="67"/>
      <c r="Z26" s="67"/>
      <c r="AA26" s="6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91"/>
      <c r="AN26" s="73" t="s">
        <v>64</v>
      </c>
      <c r="AO26" s="67" t="s">
        <v>13</v>
      </c>
      <c r="AP26" s="137">
        <f>IF(C19&gt;11,C20+2.5,IF(C19&lt;9,C20+1.5,C20+2))</f>
        <v>14</v>
      </c>
      <c r="AQ26" s="67" t="s">
        <v>1</v>
      </c>
      <c r="AR26" s="38"/>
      <c r="AS26" s="38"/>
      <c r="AT26" s="38"/>
      <c r="AU26" s="38"/>
      <c r="AV26" s="38"/>
      <c r="AW26" s="38"/>
      <c r="AX26" s="191"/>
      <c r="AY26" s="69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73"/>
      <c r="BM26" s="67"/>
      <c r="BN26" s="67"/>
      <c r="BO26" s="67"/>
      <c r="BP26" s="67"/>
      <c r="BQ26" s="67"/>
      <c r="BR26" s="145"/>
      <c r="BS26" s="38"/>
      <c r="BT26" s="73"/>
      <c r="BU26" s="108"/>
      <c r="BV26" s="67"/>
    </row>
    <row r="27" spans="1:74" x14ac:dyDescent="0.2">
      <c r="A27" s="38"/>
      <c r="B27" s="224" t="str">
        <f>IF(ABS(C9-C11)&gt;=0.45,"RT AZ","")</f>
        <v>RT AZ</v>
      </c>
      <c r="C27" s="225">
        <f>IF(ABS(C9-C11)&gt;=0.45,C24,"")</f>
        <v>5</v>
      </c>
      <c r="D27" s="226" t="str">
        <f>IF(ABS(C9-C11)&gt;=0.45,"(","")</f>
        <v>(</v>
      </c>
      <c r="E27" s="227">
        <f>IF(ABS(C9-C11)&gt;=0.45,MROUND(AU24,0.05),"")</f>
        <v>8.1</v>
      </c>
      <c r="F27" s="225"/>
      <c r="G27" s="228">
        <f>IF(ABS(C9-C11)&gt;=0.45,MROUND(E27-ABS(C9-C11)*0.8,0.05),"")</f>
        <v>7.6000000000000005</v>
      </c>
      <c r="H27" s="239">
        <f>IF(E27="","",IF(I28&lt;0,MROUND(-I28,0.25)*(-1),MROUND(I28,0.25)))</f>
        <v>-2.5</v>
      </c>
      <c r="I27" s="229" t="str">
        <f>IF(ABS(C9-C11)&gt;=0.45,")","")</f>
        <v>)</v>
      </c>
      <c r="J27" s="38"/>
      <c r="K27" s="72"/>
      <c r="L27" s="38"/>
      <c r="M27" s="67"/>
      <c r="N27" s="311" t="s">
        <v>195</v>
      </c>
      <c r="O27" s="321">
        <f>AP26</f>
        <v>14</v>
      </c>
      <c r="P27" s="310" t="s">
        <v>1</v>
      </c>
      <c r="Q27" s="310"/>
      <c r="R27" s="313"/>
      <c r="S27" s="313"/>
      <c r="T27" s="313"/>
      <c r="U27" s="313"/>
      <c r="V27" s="107"/>
      <c r="W27" s="107"/>
      <c r="X27" s="107"/>
      <c r="Y27" s="107"/>
      <c r="Z27" s="107"/>
      <c r="AA27" s="10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195"/>
      <c r="AN27" s="73" t="s">
        <v>65</v>
      </c>
      <c r="AO27" s="67" t="s">
        <v>13</v>
      </c>
      <c r="AP27" s="137">
        <f>IF(C19&gt;11,C21-1,IF(C19&lt;9,C21-2,C21-1.5))</f>
        <v>9.4</v>
      </c>
      <c r="AQ27" s="67" t="s">
        <v>1</v>
      </c>
      <c r="AR27" s="38"/>
      <c r="AS27" s="38"/>
      <c r="AT27" s="38"/>
      <c r="AU27" s="38"/>
      <c r="AV27" s="38"/>
      <c r="AW27" s="38"/>
      <c r="AX27" s="191"/>
      <c r="AY27" s="69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73"/>
      <c r="BM27" s="67"/>
      <c r="BN27" s="67"/>
      <c r="BO27" s="67"/>
      <c r="BP27" s="67"/>
      <c r="BQ27" s="67"/>
      <c r="BR27" s="67"/>
      <c r="BS27" s="67"/>
      <c r="BT27" s="73"/>
      <c r="BU27" s="108"/>
      <c r="BV27" s="67"/>
    </row>
    <row r="28" spans="1:74" x14ac:dyDescent="0.2">
      <c r="A28" s="38"/>
      <c r="B28" s="138" t="s">
        <v>157</v>
      </c>
      <c r="C28" s="67"/>
      <c r="D28" s="73"/>
      <c r="E28" s="73"/>
      <c r="F28" s="67"/>
      <c r="G28" s="67"/>
      <c r="H28" s="67"/>
      <c r="I28" s="324">
        <f>IF(E27="","",H13*(-1)-(C9-E27)*5)</f>
        <v>-2.4538461538461527</v>
      </c>
      <c r="J28" s="67"/>
      <c r="K28" s="67"/>
      <c r="L28" s="67"/>
      <c r="M28" s="67"/>
      <c r="N28" s="311" t="s">
        <v>181</v>
      </c>
      <c r="O28" s="321">
        <f>AP27</f>
        <v>9.4</v>
      </c>
      <c r="P28" s="310" t="s">
        <v>1</v>
      </c>
      <c r="Q28" s="310"/>
      <c r="R28" s="313"/>
      <c r="S28" s="313"/>
      <c r="T28" s="313"/>
      <c r="U28" s="313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195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191"/>
      <c r="AY28" s="69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73"/>
      <c r="BM28" s="67"/>
      <c r="BN28" s="67"/>
      <c r="BO28" s="67"/>
      <c r="BP28" s="67"/>
      <c r="BQ28" s="67"/>
      <c r="BR28" s="67"/>
      <c r="BS28" s="145"/>
      <c r="BT28" s="73"/>
      <c r="BU28" s="93"/>
      <c r="BV28" s="67"/>
    </row>
    <row r="29" spans="1:74" ht="13.5" thickBot="1" x14ac:dyDescent="0.25">
      <c r="A29" s="38"/>
      <c r="B29" s="78" t="s">
        <v>154</v>
      </c>
      <c r="C29" s="67"/>
      <c r="D29" s="38"/>
      <c r="E29" s="73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313"/>
      <c r="R29" s="313"/>
      <c r="S29" s="313"/>
      <c r="T29" s="67"/>
      <c r="U29" s="67"/>
      <c r="V29" s="67"/>
      <c r="W29" s="67"/>
      <c r="X29" s="67"/>
      <c r="Y29" s="67"/>
      <c r="Z29" s="67"/>
      <c r="AA29" s="67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191"/>
      <c r="AN29" s="93" t="s">
        <v>36</v>
      </c>
      <c r="AO29" s="67"/>
      <c r="AP29" s="67"/>
      <c r="AQ29" s="149" t="str">
        <f>IF(AT14&gt;0.3,IF(AT14&gt;0.4,"Steilanpassung  (RS-Linse)","Tendenz steil (RS-Linse)"),IF(AT14&lt;0.1,"Tendenz flach für RS-Linse",IF(AU23=0,"Parallelanpassung","Gleichlauf")))</f>
        <v>Steilanpassung  (RS-Linse)</v>
      </c>
      <c r="AR29" s="67"/>
      <c r="AS29" s="89" t="s">
        <v>39</v>
      </c>
      <c r="AT29" s="89"/>
      <c r="AU29" s="150">
        <f>IF(AT14&gt;0.3,IF(AT14&gt;0.4,IF(AT14&gt;0.5,-0.15,-0.1),-0.05),IF(AT14&lt;0.1,0.05,0))</f>
        <v>-0.15</v>
      </c>
      <c r="AV29" s="151" t="s">
        <v>1</v>
      </c>
      <c r="AW29" s="38"/>
      <c r="AX29" s="191"/>
      <c r="AY29" s="69" t="s">
        <v>2</v>
      </c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73"/>
      <c r="BM29" s="67"/>
      <c r="BN29" s="67"/>
      <c r="BO29" s="67"/>
      <c r="BP29" s="67"/>
      <c r="BQ29" s="67"/>
      <c r="BR29" s="67"/>
      <c r="BS29" s="67"/>
      <c r="BT29" s="73"/>
      <c r="BU29" s="93"/>
      <c r="BV29" s="67"/>
    </row>
    <row r="30" spans="1:74" x14ac:dyDescent="0.2">
      <c r="A30" s="38"/>
      <c r="B30" s="230" t="str">
        <f>AN33</f>
        <v>tor. Weichlinse</v>
      </c>
      <c r="C30" s="213" t="s">
        <v>159</v>
      </c>
      <c r="D30" s="216">
        <f>AP33</f>
        <v>8.8099999999999987</v>
      </c>
      <c r="E30" s="213" t="s">
        <v>151</v>
      </c>
      <c r="G30" s="231">
        <f>AR33</f>
        <v>-2.5</v>
      </c>
      <c r="H30" s="231">
        <f>AS33</f>
        <v>-2.5</v>
      </c>
      <c r="I30" s="325">
        <f>AT33</f>
        <v>0</v>
      </c>
      <c r="J30" s="213" t="s">
        <v>155</v>
      </c>
      <c r="K30" s="323"/>
      <c r="L30" s="233">
        <f>AV33</f>
        <v>14</v>
      </c>
      <c r="M30" s="217" t="s">
        <v>96</v>
      </c>
      <c r="N30" s="67"/>
      <c r="O30" s="67"/>
      <c r="P30" s="67"/>
      <c r="Q30" s="313"/>
      <c r="R30" s="313"/>
      <c r="S30" s="313"/>
      <c r="T30" s="67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191"/>
      <c r="AN30" s="152" t="s">
        <v>111</v>
      </c>
      <c r="AO30" s="153" t="s">
        <v>3</v>
      </c>
      <c r="AP30" s="154">
        <f>IF(AP20="AZ 0","0",AP20*10)</f>
        <v>5</v>
      </c>
      <c r="AQ30" s="155" t="s">
        <v>45</v>
      </c>
      <c r="AR30" s="156">
        <f>ROUND(AU24,2)+AU29</f>
        <v>7.9699999999999989</v>
      </c>
      <c r="AS30" s="157" t="s">
        <v>161</v>
      </c>
      <c r="AT30" s="156">
        <f>MROUND(AR30,0.05)</f>
        <v>7.95</v>
      </c>
      <c r="AU30" s="157" t="s">
        <v>51</v>
      </c>
      <c r="AV30" s="156">
        <f>IF(AV38&lt;0,MROUND(-AV38,0.25)*(-1),MROUND(AV38,0.25))</f>
        <v>-3</v>
      </c>
      <c r="AW30" s="158" t="s">
        <v>37</v>
      </c>
      <c r="AX30" s="195"/>
      <c r="AY30" s="69" t="s">
        <v>2</v>
      </c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73"/>
      <c r="BM30" s="67"/>
      <c r="BN30" s="67"/>
      <c r="BO30" s="67"/>
      <c r="BP30" s="67"/>
      <c r="BQ30" s="67"/>
      <c r="BR30" s="67"/>
      <c r="BS30" s="67"/>
      <c r="BT30" s="73"/>
      <c r="BU30" s="93"/>
      <c r="BV30" s="67"/>
    </row>
    <row r="31" spans="1:74" ht="13.5" thickBot="1" x14ac:dyDescent="0.25">
      <c r="A31" s="38"/>
      <c r="B31" s="67"/>
      <c r="C31" s="67"/>
      <c r="D31" s="73"/>
      <c r="E31" s="73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313"/>
      <c r="R31" s="313"/>
      <c r="S31" s="313"/>
      <c r="T31" s="6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191"/>
      <c r="AN31" s="159" t="s">
        <v>31</v>
      </c>
      <c r="AO31" s="160" t="s">
        <v>3</v>
      </c>
      <c r="AP31" s="161">
        <f>IF(AP15&lt;=0.3,0,IF(AP30&gt;6,6,AP30+1))</f>
        <v>6</v>
      </c>
      <c r="AQ31" s="162" t="s">
        <v>45</v>
      </c>
      <c r="AR31" s="163">
        <f>IF(AT15&gt;=0.3,AT12-((AP31/10)-AT16)*0.7+AU29,IF(AP30&lt;0,AT12+AU29+AP30*0.07,AT12+AU29))</f>
        <v>7.9046999999999983</v>
      </c>
      <c r="AS31" s="164" t="s">
        <v>161</v>
      </c>
      <c r="AT31" s="163">
        <f>MROUND(AR31,0.05)</f>
        <v>7.9</v>
      </c>
      <c r="AU31" s="164" t="s">
        <v>51</v>
      </c>
      <c r="AV31" s="163">
        <f>IF(AV42&lt;0,MROUND(-AV42,0.25)*(-1),MROUND(AV42,0.25))</f>
        <v>-3.25</v>
      </c>
      <c r="AW31" s="165" t="s">
        <v>37</v>
      </c>
      <c r="AX31" s="195"/>
      <c r="AY31" s="69" t="s">
        <v>2</v>
      </c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73"/>
      <c r="BM31" s="67"/>
      <c r="BN31" s="67"/>
      <c r="BO31" s="67"/>
      <c r="BP31" s="67"/>
      <c r="BQ31" s="67"/>
      <c r="BR31" s="67"/>
      <c r="BS31" s="67"/>
      <c r="BT31" s="73"/>
      <c r="BU31" s="93"/>
      <c r="BV31" s="67"/>
    </row>
    <row r="32" spans="1:74" ht="13.5" thickBot="1" x14ac:dyDescent="0.25">
      <c r="A32" s="38"/>
      <c r="B32" s="6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67"/>
      <c r="O32" s="67"/>
      <c r="P32" s="67"/>
      <c r="Q32" s="313"/>
      <c r="R32" s="313"/>
      <c r="S32" s="313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191"/>
      <c r="AN32" s="69"/>
      <c r="AO32" s="38"/>
      <c r="AP32" s="38"/>
      <c r="AQ32" s="67"/>
      <c r="AR32" s="67"/>
      <c r="AS32" s="38"/>
      <c r="AT32" s="67"/>
      <c r="AU32" s="67"/>
      <c r="AV32" s="100"/>
      <c r="AW32" s="67"/>
      <c r="AX32" s="195"/>
      <c r="AY32" s="69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73"/>
      <c r="BM32" s="67"/>
      <c r="BN32" s="67"/>
      <c r="BO32" s="67"/>
      <c r="BP32" s="67"/>
      <c r="BQ32" s="67"/>
      <c r="BR32" s="67"/>
      <c r="BS32" s="67"/>
      <c r="BT32" s="67"/>
      <c r="BU32" s="67"/>
      <c r="BV32" s="67"/>
    </row>
    <row r="33" spans="1:74" ht="13.5" thickBot="1" x14ac:dyDescent="0.25">
      <c r="A33" s="38"/>
      <c r="B33" s="69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13"/>
      <c r="R33" s="313"/>
      <c r="S33" s="313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191"/>
      <c r="AN33" s="166" t="str">
        <f>IF(AS33="","sph. Weichlinse","tor. Weichlinse")</f>
        <v>tor. Weichlinse</v>
      </c>
      <c r="AO33" s="167" t="s">
        <v>45</v>
      </c>
      <c r="AP33" s="168">
        <f>IF(C19&lt;9,AP12+0.8,(IF(C19&gt;11,AP12+1.2,AP12+1)))</f>
        <v>8.8099999999999987</v>
      </c>
      <c r="AQ33" s="169" t="s">
        <v>54</v>
      </c>
      <c r="AR33" s="170">
        <f>IF((ABS(AS36)&lt;=0.5),IF(AV35&lt;0,MROUND(-AV35,0.25)*(-1),MROUND(AV35,0.25)),IF(AQ36&lt;0,MROUND(-AQ36,0.25)*(-1),MROUND(AQ36,0.25)))</f>
        <v>-2.5</v>
      </c>
      <c r="AS33" s="171">
        <f>IF((ABS(AS36)&lt;=0.5),"",IF(AS36&lt;0,MROUND(-AS36,0.25)*(-1),MROUND(AS36,0.25)))</f>
        <v>-2.5</v>
      </c>
      <c r="AT33" s="172">
        <f>IF(ABS(AS36)&lt;=0.5,"",MROUND(AU36,10))</f>
        <v>0</v>
      </c>
      <c r="AU33" s="173" t="s">
        <v>55</v>
      </c>
      <c r="AV33" s="168">
        <f>IF(C19&lt;9,C20+1.5,(IF(C19&gt;11,C20+2.5,C20+2)))</f>
        <v>14</v>
      </c>
      <c r="AW33" s="174" t="s">
        <v>1</v>
      </c>
      <c r="AX33" s="191"/>
      <c r="AY33" s="69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73"/>
      <c r="BM33" s="67"/>
      <c r="BN33" s="93"/>
      <c r="BO33" s="67"/>
      <c r="BP33" s="67"/>
      <c r="BQ33" s="67"/>
      <c r="BR33" s="67"/>
      <c r="BS33" s="67"/>
      <c r="BT33" s="67"/>
      <c r="BU33" s="67"/>
      <c r="BV33" s="67"/>
    </row>
    <row r="34" spans="1:74" x14ac:dyDescent="0.2">
      <c r="A34" s="38"/>
      <c r="B34" s="6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191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191"/>
      <c r="AY34" s="69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73"/>
      <c r="BM34" s="67"/>
      <c r="BN34" s="67"/>
      <c r="BO34" s="67"/>
      <c r="BP34" s="67"/>
      <c r="BQ34" s="67"/>
      <c r="BR34" s="67"/>
      <c r="BS34" s="67"/>
      <c r="BT34" s="67"/>
      <c r="BU34" s="67"/>
      <c r="BV34" s="67"/>
    </row>
    <row r="35" spans="1:74" x14ac:dyDescent="0.2">
      <c r="A35" s="38"/>
      <c r="B35" s="69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191"/>
      <c r="AN35" s="175" t="s">
        <v>67</v>
      </c>
      <c r="AO35" s="176"/>
      <c r="AP35" s="177">
        <f>C7</f>
        <v>16</v>
      </c>
      <c r="AQ35" s="176" t="s">
        <v>68</v>
      </c>
      <c r="AR35" s="176"/>
      <c r="AS35" s="176"/>
      <c r="AT35" s="176"/>
      <c r="AU35" s="178" t="s">
        <v>57</v>
      </c>
      <c r="AV35" s="179">
        <f>AQ36+(AS36/2)</f>
        <v>-3.6235097927902356</v>
      </c>
      <c r="AW35" s="176" t="s">
        <v>37</v>
      </c>
      <c r="AX35" s="191"/>
      <c r="AY35" s="69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73"/>
      <c r="BM35" s="67"/>
      <c r="BN35" s="93"/>
      <c r="BO35" s="67"/>
      <c r="BP35" s="180"/>
      <c r="BQ35" s="181"/>
      <c r="BR35" s="67"/>
      <c r="BS35" s="89"/>
      <c r="BT35" s="67"/>
      <c r="BU35" s="67"/>
      <c r="BV35" s="67"/>
    </row>
    <row r="36" spans="1:74" x14ac:dyDescent="0.2">
      <c r="A36" s="38"/>
      <c r="B36" s="6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191"/>
      <c r="AN36" s="175" t="s">
        <v>113</v>
      </c>
      <c r="AO36" s="176"/>
      <c r="AP36" s="178" t="s">
        <v>61</v>
      </c>
      <c r="AQ36" s="179">
        <f>O11</f>
        <v>-2.4038461538461537</v>
      </c>
      <c r="AR36" s="151" t="s">
        <v>60</v>
      </c>
      <c r="AS36" s="175">
        <f>O12</f>
        <v>-2.4393272778881632</v>
      </c>
      <c r="AT36" s="176" t="s">
        <v>49</v>
      </c>
      <c r="AU36" s="149">
        <f>O13</f>
        <v>0</v>
      </c>
      <c r="AV36" s="151" t="s">
        <v>4</v>
      </c>
      <c r="AW36" s="67"/>
      <c r="AX36" s="195"/>
      <c r="AY36" s="69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73"/>
      <c r="BM36" s="67"/>
      <c r="BN36" s="93"/>
      <c r="BO36" s="67"/>
      <c r="BP36" s="89"/>
      <c r="BQ36" s="67"/>
      <c r="BR36" s="67"/>
      <c r="BS36" s="67"/>
      <c r="BT36" s="67"/>
      <c r="BU36" s="67"/>
      <c r="BV36" s="67"/>
    </row>
    <row r="37" spans="1:74" x14ac:dyDescent="0.2">
      <c r="A37" s="38"/>
      <c r="B37" s="69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191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191"/>
      <c r="AY37" s="69"/>
      <c r="AZ37" s="38" t="s">
        <v>2</v>
      </c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73"/>
      <c r="BM37" s="67"/>
      <c r="BN37" s="67"/>
      <c r="BO37" s="67"/>
      <c r="BP37" s="89"/>
      <c r="BQ37" s="67"/>
      <c r="BR37" s="67"/>
      <c r="BS37" s="67"/>
      <c r="BT37" s="67"/>
      <c r="BU37" s="67"/>
      <c r="BV37" s="67"/>
    </row>
    <row r="38" spans="1:74" x14ac:dyDescent="0.2">
      <c r="A38" s="38"/>
      <c r="B38" s="6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191"/>
      <c r="AN38" s="175" t="s">
        <v>112</v>
      </c>
      <c r="AO38" s="151"/>
      <c r="AP38" s="182" t="s">
        <v>3</v>
      </c>
      <c r="AQ38" s="183">
        <f>AP30</f>
        <v>5</v>
      </c>
      <c r="AR38" s="184" t="s">
        <v>34</v>
      </c>
      <c r="AS38" s="185">
        <f>AT30</f>
        <v>7.95</v>
      </c>
      <c r="AT38" s="151" t="s">
        <v>1</v>
      </c>
      <c r="AU38" s="182" t="s">
        <v>48</v>
      </c>
      <c r="AV38" s="179">
        <f>AP39+(AS39/2)</f>
        <v>-2.9235097927902327</v>
      </c>
      <c r="AW38" s="176" t="s">
        <v>37</v>
      </c>
      <c r="AX38" s="191"/>
      <c r="AY38" s="69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73"/>
      <c r="BM38" s="67"/>
      <c r="BN38" s="93"/>
      <c r="BO38" s="67"/>
      <c r="BP38" s="89"/>
      <c r="BQ38" s="67"/>
      <c r="BR38" s="67"/>
      <c r="BS38" s="89"/>
      <c r="BT38" s="67"/>
      <c r="BU38" s="67"/>
      <c r="BV38" s="67"/>
    </row>
    <row r="39" spans="1:74" x14ac:dyDescent="0.2">
      <c r="A39" s="38"/>
      <c r="B39" s="6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191"/>
      <c r="AN39" s="175" t="s">
        <v>43</v>
      </c>
      <c r="AO39" s="176" t="s">
        <v>50</v>
      </c>
      <c r="AP39" s="175">
        <f>IF(H15&gt;I15,H15,I15)</f>
        <v>-2.643173431734315</v>
      </c>
      <c r="AQ39" s="176" t="s">
        <v>37</v>
      </c>
      <c r="AR39" s="176" t="s">
        <v>42</v>
      </c>
      <c r="AS39" s="175">
        <f>IF(H15&gt;I15,I15-H15,IF(H15&lt;I15,H15-I15,""))</f>
        <v>-0.56067272211183505</v>
      </c>
      <c r="AT39" s="176" t="s">
        <v>37</v>
      </c>
      <c r="AU39" s="178" t="s">
        <v>56</v>
      </c>
      <c r="AV39" s="186">
        <f>IF(H15&gt;I15,O13,IF(H15&lt;I15,T13,""))</f>
        <v>90</v>
      </c>
      <c r="AW39" s="176" t="s">
        <v>4</v>
      </c>
      <c r="AX39" s="195"/>
      <c r="AY39" s="69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73"/>
      <c r="BM39" s="67"/>
      <c r="BN39" s="67"/>
      <c r="BO39" s="67"/>
      <c r="BP39" s="89"/>
      <c r="BQ39" s="67"/>
      <c r="BR39" s="67"/>
      <c r="BS39" s="67"/>
      <c r="BT39" s="67"/>
      <c r="BU39" s="67"/>
      <c r="BV39" s="67"/>
    </row>
    <row r="40" spans="1:74" x14ac:dyDescent="0.2">
      <c r="A40" s="38"/>
      <c r="B40" s="6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191"/>
      <c r="AN40" s="175" t="s">
        <v>58</v>
      </c>
      <c r="AO40" s="176" t="s">
        <v>50</v>
      </c>
      <c r="AP40" s="175">
        <f>IF(AP39&lt;0,(MROUND(-AP39,0.25))*-1,MROUND(AP39,0.25))</f>
        <v>-2.75</v>
      </c>
      <c r="AQ40" s="176" t="s">
        <v>37</v>
      </c>
      <c r="AR40" s="176" t="s">
        <v>42</v>
      </c>
      <c r="AS40" s="175">
        <f>IF(AS39&lt;0,(MROUND(-AS39,0.25))*-1,MROUND(AS39,0.25))</f>
        <v>-0.5</v>
      </c>
      <c r="AT40" s="176" t="s">
        <v>37</v>
      </c>
      <c r="AU40" s="178" t="s">
        <v>56</v>
      </c>
      <c r="AV40" s="186">
        <f>AV39</f>
        <v>90</v>
      </c>
      <c r="AW40" s="176" t="s">
        <v>4</v>
      </c>
      <c r="AX40" s="195"/>
      <c r="AY40" s="69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73"/>
      <c r="BM40" s="67"/>
      <c r="BN40" s="93"/>
      <c r="BO40" s="67"/>
      <c r="BP40" s="180"/>
      <c r="BQ40" s="67"/>
      <c r="BR40" s="67"/>
      <c r="BS40" s="67"/>
      <c r="BT40" s="67"/>
      <c r="BU40" s="67"/>
      <c r="BV40" s="67"/>
    </row>
    <row r="41" spans="1:74" x14ac:dyDescent="0.2">
      <c r="A41" s="38"/>
      <c r="B41" s="6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191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191"/>
      <c r="AY41" s="69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73"/>
      <c r="BM41" s="67"/>
      <c r="BN41" s="93"/>
      <c r="BO41" s="67"/>
      <c r="BP41" s="89"/>
      <c r="BQ41" s="67"/>
      <c r="BR41" s="67"/>
      <c r="BS41" s="67"/>
      <c r="BT41" s="108"/>
      <c r="BU41" s="148"/>
      <c r="BV41" s="67"/>
    </row>
    <row r="42" spans="1:74" x14ac:dyDescent="0.2">
      <c r="A42" s="38"/>
      <c r="B42" s="6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191"/>
      <c r="AN42" s="175" t="s">
        <v>114</v>
      </c>
      <c r="AO42" s="151"/>
      <c r="AP42" s="182" t="s">
        <v>115</v>
      </c>
      <c r="AQ42" s="183">
        <f>AP31</f>
        <v>6</v>
      </c>
      <c r="AR42" s="184" t="s">
        <v>34</v>
      </c>
      <c r="AS42" s="185">
        <f>AT31</f>
        <v>7.9</v>
      </c>
      <c r="AT42" s="151" t="s">
        <v>1</v>
      </c>
      <c r="AU42" s="182" t="s">
        <v>48</v>
      </c>
      <c r="AV42" s="179">
        <f>AV38-((AS38-AS42)*5)</f>
        <v>-3.1735097927902318</v>
      </c>
      <c r="AW42" s="176" t="s">
        <v>37</v>
      </c>
      <c r="AX42" s="200"/>
      <c r="AY42" s="69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73"/>
      <c r="BM42" s="67"/>
      <c r="BN42" s="67"/>
      <c r="BO42" s="67"/>
      <c r="BP42" s="89"/>
      <c r="BQ42" s="67"/>
      <c r="BR42" s="67"/>
      <c r="BS42" s="67"/>
      <c r="BT42" s="73"/>
      <c r="BU42" s="67"/>
      <c r="BV42" s="67"/>
    </row>
    <row r="43" spans="1:74" ht="15" x14ac:dyDescent="0.2">
      <c r="A43" s="38"/>
      <c r="B43" s="6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191"/>
      <c r="AN43" s="151" t="s">
        <v>59</v>
      </c>
      <c r="AO43" s="151" t="s">
        <v>13</v>
      </c>
      <c r="AP43" s="187">
        <f>ABS((AP10+AP11)/2-(AT10+AT11)/2)</f>
        <v>0.69999999999999751</v>
      </c>
      <c r="AQ43" s="150" t="s">
        <v>1</v>
      </c>
      <c r="AR43" s="187"/>
      <c r="AS43" s="188" t="s">
        <v>52</v>
      </c>
      <c r="AT43" s="189"/>
      <c r="AU43" s="185" t="str">
        <f>IF(ABS(C13-C14)&gt;=0.15,IF((C13-C14)&gt;0,"temporal","nasal"),IF(ABS(C13-C14)&gt;=0.15," ","relativ zentral"))</f>
        <v>relativ zentral</v>
      </c>
      <c r="AV43" s="187" t="str">
        <f>IF(ABS(C15-C16)&gt;=0.15,IF((C15-C16)&gt;0," superior"," inferior")," ")</f>
        <v xml:space="preserve"> </v>
      </c>
      <c r="AW43" s="151"/>
      <c r="AX43" s="191"/>
      <c r="AY43" s="69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73"/>
      <c r="BM43" s="67"/>
      <c r="BN43" s="93"/>
      <c r="BO43" s="67"/>
      <c r="BP43" s="89"/>
      <c r="BQ43" s="67"/>
      <c r="BR43" s="67"/>
      <c r="BS43" s="67"/>
      <c r="BT43" s="73"/>
      <c r="BU43" s="67"/>
      <c r="BV43" s="67"/>
    </row>
    <row r="44" spans="1:74" x14ac:dyDescent="0.2">
      <c r="A44" s="38"/>
      <c r="B44" s="6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191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7"/>
      <c r="AY44" s="69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73"/>
      <c r="BM44" s="67"/>
      <c r="BN44" s="67"/>
      <c r="BO44" s="67"/>
      <c r="BP44" s="89"/>
      <c r="BQ44" s="67"/>
      <c r="BR44" s="67"/>
      <c r="BS44" s="67"/>
      <c r="BT44" s="73"/>
      <c r="BU44" s="67"/>
      <c r="BV44" s="67"/>
    </row>
    <row r="45" spans="1:74" x14ac:dyDescent="0.2">
      <c r="A45" s="38"/>
      <c r="B45" s="69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69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73"/>
      <c r="BM45" s="67"/>
      <c r="BN45" s="93"/>
      <c r="BO45" s="67"/>
      <c r="BP45" s="89"/>
      <c r="BQ45" s="67"/>
      <c r="BR45" s="100"/>
      <c r="BS45" s="89"/>
      <c r="BT45" s="73"/>
      <c r="BU45" s="93"/>
      <c r="BV45" s="67"/>
    </row>
    <row r="46" spans="1:74" x14ac:dyDescent="0.2">
      <c r="A46" s="38"/>
      <c r="B46" s="6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69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73"/>
      <c r="BM46" s="67"/>
      <c r="BN46" s="67"/>
      <c r="BO46" s="67"/>
      <c r="BP46" s="67"/>
      <c r="BQ46" s="67"/>
      <c r="BR46" s="100"/>
      <c r="BS46" s="89"/>
      <c r="BT46" s="73"/>
      <c r="BU46" s="93"/>
      <c r="BV46" s="67"/>
    </row>
    <row r="47" spans="1:74" x14ac:dyDescent="0.2">
      <c r="A47" s="38"/>
      <c r="B47" s="69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69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73"/>
      <c r="BM47" s="67"/>
      <c r="BN47" s="67"/>
      <c r="BO47" s="67"/>
      <c r="BP47" s="67"/>
      <c r="BQ47" s="67"/>
      <c r="BR47" s="67"/>
      <c r="BS47" s="67"/>
      <c r="BT47" s="67"/>
      <c r="BU47" s="67"/>
      <c r="BV47" s="67"/>
    </row>
    <row r="48" spans="1:74" x14ac:dyDescent="0.2">
      <c r="A48" s="38"/>
      <c r="B48" s="6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69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73"/>
      <c r="BM48" s="67"/>
      <c r="BN48" s="67"/>
      <c r="BO48" s="67"/>
      <c r="BP48" s="67"/>
      <c r="BQ48" s="93"/>
      <c r="BR48" s="67"/>
      <c r="BS48" s="67"/>
      <c r="BT48" s="67"/>
      <c r="BU48" s="67"/>
      <c r="BV48" s="67"/>
    </row>
    <row r="49" spans="1:74" x14ac:dyDescent="0.2">
      <c r="A49" s="38"/>
      <c r="B49" s="69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69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73"/>
      <c r="BM49" s="67"/>
      <c r="BN49" s="67"/>
      <c r="BO49" s="67"/>
      <c r="BP49" s="67"/>
      <c r="BQ49" s="67"/>
      <c r="BR49" s="67"/>
      <c r="BS49" s="67"/>
      <c r="BT49" s="67"/>
      <c r="BU49" s="67"/>
      <c r="BV49" s="67"/>
    </row>
    <row r="50" spans="1:74" x14ac:dyDescent="0.2">
      <c r="A50" s="38"/>
      <c r="B50" s="69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69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73"/>
      <c r="BM50" s="67"/>
      <c r="BN50" s="67"/>
      <c r="BO50" s="67"/>
      <c r="BP50" s="67"/>
      <c r="BQ50" s="38"/>
      <c r="BR50" s="38"/>
      <c r="BS50" s="108"/>
      <c r="BT50" s="93"/>
      <c r="BU50" s="38"/>
      <c r="BV50" s="38"/>
    </row>
    <row r="51" spans="1:74" x14ac:dyDescent="0.2">
      <c r="A51" s="38"/>
      <c r="B51" s="6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69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73"/>
      <c r="BM51" s="67"/>
      <c r="BN51" s="67"/>
      <c r="BO51" s="67"/>
      <c r="BP51" s="67"/>
      <c r="BQ51" s="67"/>
      <c r="BR51" s="67"/>
      <c r="BS51" s="67"/>
      <c r="BT51" s="67"/>
      <c r="BU51" s="67"/>
      <c r="BV51" s="67"/>
    </row>
    <row r="52" spans="1:74" x14ac:dyDescent="0.2">
      <c r="A52" s="38"/>
      <c r="B52" s="69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69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73"/>
      <c r="BM52" s="67"/>
      <c r="BN52" s="67"/>
      <c r="BO52" s="67"/>
      <c r="BP52" s="67"/>
      <c r="BQ52" s="67"/>
      <c r="BR52" s="67"/>
      <c r="BS52" s="67"/>
      <c r="BT52" s="38"/>
      <c r="BU52" s="67"/>
      <c r="BV52" s="67"/>
    </row>
    <row r="53" spans="1:74" x14ac:dyDescent="0.2">
      <c r="A53" s="38"/>
      <c r="B53" s="6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69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7"/>
      <c r="BM53" s="38"/>
      <c r="BN53" s="67"/>
      <c r="BO53" s="67"/>
      <c r="BP53" s="67"/>
      <c r="BQ53" s="67"/>
      <c r="BR53" s="67"/>
      <c r="BS53" s="67"/>
      <c r="BT53" s="67"/>
      <c r="BU53" s="67"/>
      <c r="BV53" s="67"/>
    </row>
    <row r="54" spans="1:74" x14ac:dyDescent="0.2">
      <c r="A54" s="38"/>
      <c r="B54" s="69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69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7"/>
      <c r="BM54" s="38"/>
      <c r="BN54" s="67"/>
      <c r="BO54" s="67"/>
      <c r="BP54" s="67"/>
      <c r="BQ54" s="67"/>
      <c r="BR54" s="67"/>
      <c r="BS54" s="67"/>
      <c r="BT54" s="67"/>
      <c r="BU54" s="67"/>
      <c r="BV54" s="67"/>
    </row>
    <row r="55" spans="1:74" x14ac:dyDescent="0.2">
      <c r="A55" s="38"/>
      <c r="B55" s="69" t="s">
        <v>2</v>
      </c>
      <c r="C55" s="38"/>
      <c r="D55" s="38"/>
      <c r="E55" s="67"/>
      <c r="F55" s="67"/>
      <c r="G55" s="67"/>
      <c r="H55" s="67"/>
      <c r="I55" s="67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69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7"/>
      <c r="BM55" s="38"/>
      <c r="BN55" s="38"/>
      <c r="BO55" s="38"/>
      <c r="BP55" s="38"/>
      <c r="BQ55" s="38"/>
      <c r="BR55" s="38"/>
      <c r="BS55" s="38"/>
      <c r="BT55" s="38"/>
      <c r="BU55" s="190"/>
      <c r="BV55" s="67"/>
    </row>
    <row r="56" spans="1:74" x14ac:dyDescent="0.2">
      <c r="A56" s="38"/>
      <c r="B56" s="69"/>
      <c r="C56" s="38"/>
      <c r="D56" s="38"/>
      <c r="E56" s="67" t="s">
        <v>2</v>
      </c>
      <c r="F56" s="67"/>
      <c r="G56" s="67"/>
      <c r="H56" s="67"/>
      <c r="I56" s="67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69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</row>
    <row r="57" spans="1:74" x14ac:dyDescent="0.2">
      <c r="A57" s="38"/>
      <c r="B57" s="69"/>
      <c r="C57" s="38"/>
      <c r="D57" s="38"/>
      <c r="E57" s="38" t="s">
        <v>2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69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</row>
    <row r="58" spans="1:74" x14ac:dyDescent="0.2">
      <c r="A58" s="38"/>
      <c r="B58" s="69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69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</row>
    <row r="59" spans="1:74" x14ac:dyDescent="0.2">
      <c r="A59" s="38"/>
      <c r="B59" s="69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69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</row>
    <row r="60" spans="1:74" x14ac:dyDescent="0.2">
      <c r="A60" s="38"/>
      <c r="B60" s="69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69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</row>
    <row r="61" spans="1:74" x14ac:dyDescent="0.2">
      <c r="A61" s="38"/>
      <c r="B61" s="6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69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</row>
    <row r="62" spans="1:74" x14ac:dyDescent="0.2">
      <c r="A62" s="38"/>
      <c r="B62" s="69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69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</row>
    <row r="63" spans="1:74" x14ac:dyDescent="0.2">
      <c r="A63" s="38"/>
      <c r="B63" s="69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69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</row>
    <row r="64" spans="1:74" x14ac:dyDescent="0.2">
      <c r="A64" s="38"/>
      <c r="B64" s="6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69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</row>
    <row r="65" spans="1:74" x14ac:dyDescent="0.2">
      <c r="A65" s="38"/>
      <c r="B65" s="6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69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</row>
    <row r="66" spans="1:74" x14ac:dyDescent="0.2">
      <c r="A66" s="38"/>
      <c r="B66" s="69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69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</row>
    <row r="67" spans="1:74" x14ac:dyDescent="0.2">
      <c r="A67" s="38"/>
      <c r="B67" s="6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69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</row>
    <row r="68" spans="1:74" x14ac:dyDescent="0.2">
      <c r="A68" s="38"/>
      <c r="B68" s="6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69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</row>
    <row r="69" spans="1:74" x14ac:dyDescent="0.2">
      <c r="A69" s="38"/>
      <c r="B69" s="69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69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</row>
    <row r="70" spans="1:74" x14ac:dyDescent="0.2">
      <c r="A70" s="38"/>
      <c r="B70" s="69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69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</row>
    <row r="71" spans="1:74" x14ac:dyDescent="0.2">
      <c r="A71" s="38"/>
      <c r="B71" s="69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69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</row>
    <row r="72" spans="1:74" x14ac:dyDescent="0.2">
      <c r="A72" s="38"/>
      <c r="B72" s="69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69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</row>
    <row r="73" spans="1:74" x14ac:dyDescent="0.2">
      <c r="A73" s="38"/>
      <c r="B73" s="69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69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</row>
    <row r="74" spans="1:74" x14ac:dyDescent="0.2">
      <c r="A74" s="38"/>
      <c r="B74" s="69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69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</row>
    <row r="75" spans="1:74" x14ac:dyDescent="0.2">
      <c r="A75" s="38"/>
      <c r="B75" s="6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69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</row>
    <row r="76" spans="1:74" x14ac:dyDescent="0.2">
      <c r="A76" s="38"/>
      <c r="B76" s="6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69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</row>
    <row r="77" spans="1:74" x14ac:dyDescent="0.2">
      <c r="A77" s="38"/>
      <c r="B77" s="69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69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</row>
    <row r="78" spans="1:74" x14ac:dyDescent="0.2">
      <c r="A78" s="38"/>
      <c r="B78" s="6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69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</row>
    <row r="79" spans="1:74" x14ac:dyDescent="0.2">
      <c r="A79" s="38"/>
      <c r="B79" s="69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69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</row>
    <row r="80" spans="1:74" x14ac:dyDescent="0.2">
      <c r="A80" s="38"/>
      <c r="B80" s="69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69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</row>
    <row r="81" spans="1:74" x14ac:dyDescent="0.2">
      <c r="A81" s="38"/>
      <c r="B81" s="69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69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</row>
    <row r="82" spans="1:74" x14ac:dyDescent="0.2">
      <c r="A82" s="38"/>
      <c r="B82" s="69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69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</row>
    <row r="83" spans="1:74" x14ac:dyDescent="0.2">
      <c r="A83" s="38"/>
      <c r="B83" s="6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69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</row>
    <row r="84" spans="1:74" x14ac:dyDescent="0.2">
      <c r="A84" s="38"/>
      <c r="B84" s="69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69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</row>
    <row r="85" spans="1:74" x14ac:dyDescent="0.2">
      <c r="A85" s="38"/>
      <c r="B85" s="69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69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</row>
    <row r="86" spans="1:74" x14ac:dyDescent="0.2">
      <c r="A86" s="38"/>
      <c r="B86" s="6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69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</row>
    <row r="87" spans="1:74" x14ac:dyDescent="0.2">
      <c r="A87" s="38"/>
      <c r="B87" s="69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69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</row>
    <row r="88" spans="1:74" x14ac:dyDescent="0.2">
      <c r="A88" s="38"/>
      <c r="B88" s="6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69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</row>
    <row r="89" spans="1:74" x14ac:dyDescent="0.2">
      <c r="A89" s="38"/>
      <c r="B89" s="69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69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</row>
    <row r="90" spans="1:74" x14ac:dyDescent="0.2">
      <c r="A90" s="38"/>
      <c r="B90" s="69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69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</row>
    <row r="91" spans="1:74" x14ac:dyDescent="0.2">
      <c r="A91" s="38"/>
      <c r="B91" s="6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69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</row>
    <row r="92" spans="1:74" x14ac:dyDescent="0.2">
      <c r="A92" s="38"/>
      <c r="B92" s="69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69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</row>
    <row r="93" spans="1:74" x14ac:dyDescent="0.2">
      <c r="A93" s="38"/>
      <c r="B93" s="6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69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</row>
    <row r="94" spans="1:74" x14ac:dyDescent="0.2">
      <c r="A94" s="38"/>
      <c r="B94" s="69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69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</row>
    <row r="95" spans="1:74" x14ac:dyDescent="0.2">
      <c r="A95" s="38"/>
      <c r="B95" s="69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69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</row>
    <row r="96" spans="1:74" x14ac:dyDescent="0.2">
      <c r="A96" s="38"/>
      <c r="B96" s="69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69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</row>
    <row r="97" spans="1:74" x14ac:dyDescent="0.2">
      <c r="A97" s="38"/>
      <c r="B97" s="69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69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</row>
    <row r="98" spans="1:74" x14ac:dyDescent="0.2">
      <c r="A98" s="38"/>
      <c r="B98" s="69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69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</row>
    <row r="99" spans="1:74" x14ac:dyDescent="0.2">
      <c r="A99" s="38"/>
      <c r="B99" s="69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69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</row>
    <row r="100" spans="1:74" x14ac:dyDescent="0.2">
      <c r="A100" s="38"/>
      <c r="B100" s="69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69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</row>
    <row r="101" spans="1:74" x14ac:dyDescent="0.2">
      <c r="A101" s="38"/>
      <c r="B101" s="69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69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</row>
    <row r="102" spans="1:74" x14ac:dyDescent="0.2">
      <c r="A102" s="38"/>
      <c r="B102" s="69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69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</row>
    <row r="103" spans="1:74" x14ac:dyDescent="0.2">
      <c r="A103" s="38"/>
      <c r="B103" s="69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69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</row>
    <row r="104" spans="1:74" x14ac:dyDescent="0.2">
      <c r="A104" s="38"/>
      <c r="B104" s="69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69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</row>
    <row r="105" spans="1:74" x14ac:dyDescent="0.2">
      <c r="A105" s="38"/>
      <c r="B105" s="69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69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</row>
    <row r="106" spans="1:74" x14ac:dyDescent="0.2">
      <c r="A106" s="38"/>
      <c r="B106" s="69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69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</row>
    <row r="107" spans="1:74" x14ac:dyDescent="0.2">
      <c r="A107" s="38"/>
      <c r="B107" s="69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69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</row>
    <row r="108" spans="1:74" x14ac:dyDescent="0.2">
      <c r="A108" s="38"/>
      <c r="B108" s="69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69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</row>
    <row r="109" spans="1:74" x14ac:dyDescent="0.2">
      <c r="A109" s="38"/>
      <c r="B109" s="69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69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</row>
    <row r="110" spans="1:74" x14ac:dyDescent="0.2">
      <c r="A110" s="38"/>
      <c r="B110" s="69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69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</row>
  </sheetData>
  <sheetProtection password="CDCE" sheet="1" objects="1" scenarios="1" selectLockedCells="1"/>
  <dataValidations count="9">
    <dataValidation type="whole" allowBlank="1" showInputMessage="1" showErrorMessage="1" error="Horizontale Achseingabe zwischen 0° und 45° oder zwischen 135° und 180° eingeben." prompt="Achse des horizontalen Zentralradius eingeben._x000a_D.h. zwischen 0° und 45° oder 135° bis 180°." sqref="C10">
      <formula1>0</formula1>
      <formula2>180</formula2>
    </dataValidation>
    <dataValidation type="decimal" allowBlank="1" showInputMessage="1" showErrorMessage="1" error="Eingabe zwischen 5,0 und 14,0 mm erlaubt." sqref="C19:C21">
      <formula1>8</formula1>
      <formula2>14</formula2>
    </dataValidation>
    <dataValidation type="decimal" allowBlank="1" showInputMessage="1" showErrorMessage="1" error="Sagittalradien zwischen 5 und 12 mm erlaubt." sqref="C13:C16">
      <formula1>5</formula1>
      <formula2>12</formula2>
    </dataValidation>
    <dataValidation type="whole" allowBlank="1" showInputMessage="1" showErrorMessage="1" error="Messwinkel-Eingabe von 30°, 25° oder 20° erlaubt." prompt="Messwinkel 30°, 25° oder 20° eingeben." sqref="C12">
      <formula1>20</formula1>
      <formula2>30</formula2>
    </dataValidation>
    <dataValidation type="decimal" allowBlank="1" showInputMessage="1" showErrorMessage="1" error="Zentralradien zwischen 4 und 12 mm einegeben." sqref="C9 C11">
      <formula1>4</formula1>
      <formula2>12</formula2>
    </dataValidation>
    <dataValidation type="whole" allowBlank="1" showInputMessage="1" showErrorMessage="1" error="HSA zwischen 0 und 25 mm eingeben. " sqref="C7">
      <formula1>0</formula1>
      <formula2>25</formula2>
    </dataValidation>
    <dataValidation type="whole" allowBlank="1" showInputMessage="1" showErrorMessage="1" error="Achsen zwischen 0° und 180° eingeben._x000a_" sqref="C6">
      <formula1>0</formula1>
      <formula2>180</formula2>
    </dataValidation>
    <dataValidation type="decimal" errorStyle="warning" allowBlank="1" showInputMessage="1" showErrorMessage="1" errorTitle="ungültig !!" sqref="C4">
      <formula1>-35</formula1>
      <formula2>35</formula2>
    </dataValidation>
    <dataValidation type="decimal" allowBlank="1" showInputMessage="1" showErrorMessage="1" error="Minus-Zylinder eingeben_x000a_zwischen 0 und -10,00 dpt." sqref="C5">
      <formula1>-10</formula1>
      <formula2>0</formula2>
    </dataValidation>
  </dataValidations>
  <hyperlinks>
    <hyperlink ref="D2:V2" r:id="rId1" display="Download neuste Version"/>
    <hyperlink ref="C2:E2" r:id="rId2" display="Download neuste Version"/>
  </hyperlinks>
  <pageMargins left="0.7" right="0.7" top="0.78740157499999996" bottom="0.78740157499999996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6"/>
  <sheetViews>
    <sheetView showGridLines="0" showRowColHeaders="0" workbookViewId="0">
      <selection activeCell="C6" sqref="C6"/>
    </sheetView>
  </sheetViews>
  <sheetFormatPr baseColWidth="10" defaultRowHeight="12.75" x14ac:dyDescent="0.2"/>
  <cols>
    <col min="1" max="1" width="0.5703125" style="339" customWidth="1"/>
    <col min="2" max="2" width="22" style="339" customWidth="1"/>
    <col min="3" max="3" width="13.140625" style="339" customWidth="1"/>
    <col min="4" max="4" width="10.85546875" style="339" customWidth="1"/>
    <col min="5" max="5" width="6.5703125" style="339" customWidth="1"/>
    <col min="6" max="6" width="11" style="339" customWidth="1"/>
    <col min="7" max="7" width="9" style="339" customWidth="1"/>
    <col min="8" max="8" width="7.42578125" style="339" customWidth="1"/>
    <col min="9" max="10" width="7" style="339" customWidth="1"/>
    <col min="11" max="11" width="0.42578125" style="339" customWidth="1"/>
    <col min="12" max="12" width="4" style="339" customWidth="1"/>
    <col min="13" max="13" width="1.7109375" style="339" customWidth="1"/>
    <col min="14" max="16384" width="11.42578125" style="339"/>
  </cols>
  <sheetData>
    <row r="1" spans="1:52" ht="20.25" x14ac:dyDescent="0.2">
      <c r="A1" s="335"/>
      <c r="B1" s="336" t="s">
        <v>200</v>
      </c>
      <c r="C1" s="337"/>
      <c r="D1" s="336"/>
      <c r="E1" s="338"/>
      <c r="F1" s="338"/>
      <c r="G1" s="338"/>
      <c r="H1" s="338"/>
      <c r="I1" s="338"/>
      <c r="J1" s="338"/>
      <c r="K1" s="338"/>
      <c r="L1" s="338"/>
      <c r="M1" s="335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301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301"/>
    </row>
    <row r="2" spans="1:52" ht="12" customHeight="1" x14ac:dyDescent="0.2">
      <c r="A2" s="335"/>
      <c r="B2" s="330"/>
      <c r="C2" s="330"/>
      <c r="D2" s="330"/>
      <c r="E2" s="330"/>
      <c r="F2" s="309"/>
      <c r="G2" s="309"/>
      <c r="H2" s="309"/>
      <c r="I2" s="309"/>
      <c r="J2" s="340"/>
      <c r="K2" s="340"/>
      <c r="L2" s="340"/>
      <c r="M2" s="335"/>
      <c r="N2" s="309"/>
      <c r="O2" s="309"/>
      <c r="P2" s="309"/>
      <c r="Q2" s="309"/>
      <c r="R2" s="309"/>
      <c r="S2" s="309"/>
      <c r="T2" s="309"/>
      <c r="U2" s="278"/>
      <c r="V2" s="307"/>
      <c r="W2" s="309"/>
      <c r="X2" s="309"/>
      <c r="Y2" s="309"/>
      <c r="Z2" s="309"/>
      <c r="AA2" s="309"/>
      <c r="AB2" s="301"/>
      <c r="AC2" s="309"/>
      <c r="AD2" s="116"/>
      <c r="AE2" s="116"/>
      <c r="AF2" s="116"/>
      <c r="AG2" s="116"/>
      <c r="AH2" s="116"/>
      <c r="AI2" s="116"/>
      <c r="AJ2" s="116"/>
      <c r="AK2" s="309"/>
      <c r="AL2" s="309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301"/>
    </row>
    <row r="3" spans="1:52" ht="20.25" x14ac:dyDescent="0.3">
      <c r="A3" s="335"/>
      <c r="B3" s="341" t="s">
        <v>135</v>
      </c>
      <c r="C3" s="342"/>
      <c r="D3" s="343"/>
      <c r="E3" s="344"/>
      <c r="F3" s="116"/>
      <c r="G3" s="116"/>
      <c r="H3" s="116"/>
      <c r="I3" s="116"/>
      <c r="J3" s="116"/>
      <c r="K3" s="116"/>
      <c r="L3" s="116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278"/>
      <c r="Z3" s="278"/>
      <c r="AA3" s="278"/>
      <c r="AB3" s="301"/>
      <c r="AC3" s="278"/>
      <c r="AD3" s="301"/>
      <c r="AE3" s="297"/>
      <c r="AF3" s="298"/>
      <c r="AG3" s="298"/>
      <c r="AH3" s="295"/>
      <c r="AI3" s="295"/>
      <c r="AJ3" s="293"/>
      <c r="AK3" s="278"/>
      <c r="AL3" s="278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301"/>
    </row>
    <row r="4" spans="1:52" ht="20.25" x14ac:dyDescent="0.3">
      <c r="A4" s="335"/>
      <c r="B4" s="343" t="s">
        <v>5</v>
      </c>
      <c r="C4" s="331">
        <v>7.78</v>
      </c>
      <c r="D4" s="345" t="s">
        <v>1</v>
      </c>
      <c r="E4" s="346"/>
      <c r="F4" s="301"/>
      <c r="G4" s="301"/>
      <c r="H4" s="347"/>
      <c r="I4" s="301"/>
      <c r="J4" s="278"/>
      <c r="K4" s="278"/>
      <c r="L4" s="278"/>
      <c r="M4" s="278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48"/>
      <c r="Z4" s="328"/>
      <c r="AA4" s="328"/>
      <c r="AB4" s="301"/>
      <c r="AC4" s="328"/>
      <c r="AD4" s="301"/>
      <c r="AE4" s="297"/>
      <c r="AF4" s="298"/>
      <c r="AG4" s="295"/>
      <c r="AH4" s="295"/>
      <c r="AI4" s="295"/>
      <c r="AJ4" s="293"/>
      <c r="AK4" s="328"/>
      <c r="AL4" s="328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301"/>
    </row>
    <row r="5" spans="1:52" ht="20.25" x14ac:dyDescent="0.3">
      <c r="A5" s="335"/>
      <c r="B5" s="343" t="s">
        <v>44</v>
      </c>
      <c r="C5" s="332">
        <v>0</v>
      </c>
      <c r="D5" s="345" t="s">
        <v>4</v>
      </c>
      <c r="E5" s="349"/>
      <c r="F5" s="116"/>
      <c r="G5" s="301"/>
      <c r="H5" s="301"/>
      <c r="I5" s="348"/>
      <c r="J5" s="301"/>
      <c r="K5" s="348"/>
      <c r="L5" s="348"/>
      <c r="M5" s="348"/>
      <c r="N5" s="338"/>
      <c r="O5" s="338"/>
      <c r="P5" s="335"/>
      <c r="Q5" s="335"/>
      <c r="R5" s="335"/>
      <c r="S5" s="335"/>
      <c r="T5" s="335"/>
      <c r="U5" s="335"/>
      <c r="V5" s="335"/>
      <c r="W5" s="335"/>
      <c r="X5" s="335"/>
      <c r="Y5" s="116"/>
      <c r="Z5" s="301"/>
      <c r="AA5" s="116"/>
      <c r="AB5" s="301"/>
      <c r="AC5" s="116"/>
      <c r="AD5" s="301"/>
      <c r="AE5" s="297"/>
      <c r="AF5" s="298"/>
      <c r="AG5" s="298"/>
      <c r="AH5" s="295"/>
      <c r="AI5" s="350"/>
      <c r="AJ5" s="293"/>
      <c r="AK5" s="116"/>
      <c r="AL5" s="116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301"/>
    </row>
    <row r="6" spans="1:52" ht="20.25" x14ac:dyDescent="0.3">
      <c r="A6" s="335"/>
      <c r="B6" s="343" t="s">
        <v>7</v>
      </c>
      <c r="C6" s="333">
        <v>7.6</v>
      </c>
      <c r="D6" s="345" t="s">
        <v>1</v>
      </c>
      <c r="E6" s="349"/>
      <c r="F6" s="116"/>
      <c r="G6" s="301"/>
      <c r="H6" s="301"/>
      <c r="I6" s="338"/>
      <c r="J6" s="348"/>
      <c r="K6" s="348"/>
      <c r="L6" s="348"/>
      <c r="M6" s="348"/>
      <c r="N6" s="348"/>
      <c r="O6" s="348"/>
      <c r="P6" s="335"/>
      <c r="Q6" s="335"/>
      <c r="R6" s="335"/>
      <c r="S6" s="335"/>
      <c r="T6" s="335"/>
      <c r="U6" s="335"/>
      <c r="V6" s="335"/>
      <c r="W6" s="335"/>
      <c r="X6" s="335"/>
      <c r="Y6" s="328"/>
      <c r="Z6" s="301"/>
      <c r="AA6" s="328"/>
      <c r="AB6" s="301"/>
      <c r="AC6" s="328"/>
      <c r="AD6" s="301"/>
      <c r="AE6" s="297"/>
      <c r="AF6" s="298"/>
      <c r="AG6" s="298"/>
      <c r="AH6" s="295"/>
      <c r="AI6" s="350"/>
      <c r="AJ6" s="293"/>
      <c r="AK6" s="328"/>
      <c r="AL6" s="328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116"/>
    </row>
    <row r="7" spans="1:52" ht="20.25" x14ac:dyDescent="0.3">
      <c r="A7" s="335"/>
      <c r="B7" s="343" t="s">
        <v>41</v>
      </c>
      <c r="C7" s="332">
        <v>30</v>
      </c>
      <c r="D7" s="345" t="s">
        <v>4</v>
      </c>
      <c r="E7" s="351"/>
      <c r="F7" s="301"/>
      <c r="G7" s="301"/>
      <c r="H7" s="301"/>
      <c r="I7" s="338"/>
      <c r="J7" s="338"/>
      <c r="K7" s="338"/>
      <c r="L7" s="338"/>
      <c r="M7" s="338"/>
      <c r="N7" s="348"/>
      <c r="O7" s="348"/>
      <c r="P7" s="335"/>
      <c r="Q7" s="335"/>
      <c r="R7" s="335"/>
      <c r="S7" s="335"/>
      <c r="T7" s="335"/>
      <c r="U7" s="335"/>
      <c r="V7" s="335"/>
      <c r="W7" s="335"/>
      <c r="X7" s="335"/>
      <c r="Y7" s="116"/>
      <c r="Z7" s="301"/>
      <c r="AA7" s="116"/>
      <c r="AB7" s="301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352"/>
    </row>
    <row r="8" spans="1:52" ht="20.25" x14ac:dyDescent="0.3">
      <c r="A8" s="335"/>
      <c r="B8" s="343" t="s">
        <v>8</v>
      </c>
      <c r="C8" s="333">
        <v>7.8</v>
      </c>
      <c r="D8" s="345" t="s">
        <v>1</v>
      </c>
      <c r="E8" s="344"/>
      <c r="F8" s="116"/>
      <c r="G8" s="353"/>
      <c r="H8" s="353"/>
      <c r="I8" s="338"/>
      <c r="J8" s="338"/>
      <c r="K8" s="338"/>
      <c r="L8" s="338"/>
      <c r="M8" s="348"/>
      <c r="N8" s="348"/>
      <c r="O8" s="348"/>
      <c r="P8" s="335"/>
      <c r="Q8" s="335"/>
      <c r="R8" s="335"/>
      <c r="S8" s="335"/>
      <c r="T8" s="335"/>
      <c r="U8" s="335"/>
      <c r="V8" s="335"/>
      <c r="W8" s="335"/>
      <c r="X8" s="335"/>
      <c r="Y8" s="301"/>
      <c r="Z8" s="301"/>
      <c r="AA8" s="116"/>
      <c r="AB8" s="301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116"/>
    </row>
    <row r="9" spans="1:52" ht="20.25" x14ac:dyDescent="0.3">
      <c r="A9" s="335"/>
      <c r="B9" s="343" t="s">
        <v>9</v>
      </c>
      <c r="C9" s="333">
        <v>7.8</v>
      </c>
      <c r="D9" s="345" t="s">
        <v>1</v>
      </c>
      <c r="E9" s="351"/>
      <c r="F9" s="301"/>
      <c r="G9" s="301"/>
      <c r="H9" s="301"/>
      <c r="I9" s="338"/>
      <c r="J9" s="338"/>
      <c r="K9" s="338"/>
      <c r="L9" s="338"/>
      <c r="M9" s="338"/>
      <c r="N9" s="338"/>
      <c r="O9" s="338"/>
      <c r="P9" s="335"/>
      <c r="Q9" s="335"/>
      <c r="R9" s="335"/>
      <c r="S9" s="335"/>
      <c r="T9" s="335"/>
      <c r="U9" s="335"/>
      <c r="V9" s="335"/>
      <c r="W9" s="335"/>
      <c r="X9" s="335"/>
      <c r="Y9" s="338"/>
      <c r="Z9" s="301"/>
      <c r="AA9" s="116"/>
      <c r="AB9" s="301"/>
      <c r="AC9" s="116"/>
      <c r="AD9" s="301"/>
      <c r="AE9" s="301"/>
      <c r="AF9" s="301"/>
      <c r="AG9" s="301"/>
      <c r="AH9" s="301"/>
      <c r="AI9" s="301"/>
      <c r="AJ9" s="301"/>
      <c r="AK9" s="116"/>
      <c r="AL9" s="116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301"/>
    </row>
    <row r="10" spans="1:52" ht="20.25" x14ac:dyDescent="0.3">
      <c r="A10" s="335"/>
      <c r="B10" s="343" t="s">
        <v>10</v>
      </c>
      <c r="C10" s="333">
        <v>8.3000000000000007</v>
      </c>
      <c r="D10" s="345" t="s">
        <v>1</v>
      </c>
      <c r="E10" s="351"/>
      <c r="F10" s="301"/>
      <c r="G10" s="301"/>
      <c r="H10" s="301"/>
      <c r="I10" s="348"/>
      <c r="J10" s="301"/>
      <c r="K10" s="348"/>
      <c r="L10" s="348"/>
      <c r="M10" s="348"/>
      <c r="N10" s="338"/>
      <c r="O10" s="338"/>
      <c r="P10" s="354"/>
      <c r="Q10" s="354"/>
      <c r="R10" s="354"/>
      <c r="S10" s="355" t="s">
        <v>170</v>
      </c>
      <c r="T10" s="354"/>
      <c r="U10" s="354"/>
      <c r="V10" s="116"/>
      <c r="W10" s="301"/>
      <c r="X10" s="301"/>
      <c r="Y10" s="301"/>
      <c r="Z10" s="301"/>
      <c r="AA10" s="116"/>
      <c r="AB10" s="301"/>
      <c r="AC10" s="116"/>
      <c r="AD10" s="301"/>
      <c r="AE10" s="301"/>
      <c r="AF10" s="301"/>
      <c r="AG10" s="301"/>
      <c r="AH10" s="301"/>
      <c r="AI10" s="301"/>
      <c r="AJ10" s="301"/>
      <c r="AK10" s="116"/>
      <c r="AL10" s="116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301"/>
    </row>
    <row r="11" spans="1:52" ht="20.25" x14ac:dyDescent="0.3">
      <c r="A11" s="335"/>
      <c r="B11" s="343" t="s">
        <v>11</v>
      </c>
      <c r="C11" s="334">
        <v>8.3000000000000007</v>
      </c>
      <c r="D11" s="345" t="s">
        <v>1</v>
      </c>
      <c r="E11" s="344"/>
      <c r="F11" s="116"/>
      <c r="G11" s="116"/>
      <c r="H11" s="116"/>
      <c r="I11" s="116"/>
      <c r="J11" s="116"/>
      <c r="K11" s="116"/>
      <c r="L11" s="116"/>
      <c r="M11" s="335"/>
      <c r="N11" s="356" t="s">
        <v>32</v>
      </c>
      <c r="O11" s="293"/>
      <c r="P11" s="293"/>
      <c r="Q11" s="293"/>
      <c r="R11" s="293"/>
      <c r="S11" s="293"/>
      <c r="T11" s="293"/>
      <c r="U11" s="354"/>
      <c r="V11" s="278"/>
      <c r="W11" s="278"/>
      <c r="X11" s="278"/>
      <c r="Y11" s="278"/>
      <c r="Z11" s="278"/>
      <c r="AA11" s="278"/>
      <c r="AB11" s="301"/>
      <c r="AC11" s="116"/>
      <c r="AD11" s="301"/>
      <c r="AE11" s="301"/>
      <c r="AF11" s="301"/>
      <c r="AG11" s="301"/>
      <c r="AH11" s="301"/>
      <c r="AI11" s="301"/>
      <c r="AJ11" s="301"/>
      <c r="AK11" s="116"/>
      <c r="AL11" s="116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301"/>
    </row>
    <row r="12" spans="1:52" ht="21" thickBot="1" x14ac:dyDescent="0.25">
      <c r="A12" s="335"/>
      <c r="B12" s="357"/>
      <c r="C12" s="357"/>
      <c r="D12" s="357"/>
      <c r="E12" s="357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354"/>
      <c r="V12" s="278"/>
      <c r="W12" s="278"/>
      <c r="X12" s="278"/>
      <c r="Y12" s="278"/>
      <c r="Z12" s="278"/>
      <c r="AA12" s="278"/>
      <c r="AB12" s="301"/>
      <c r="AC12" s="116"/>
      <c r="AD12" s="301"/>
      <c r="AE12" s="301"/>
      <c r="AF12" s="301"/>
      <c r="AG12" s="301"/>
      <c r="AH12" s="301"/>
      <c r="AI12" s="301"/>
      <c r="AJ12" s="301"/>
      <c r="AK12" s="116"/>
      <c r="AL12" s="116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301"/>
    </row>
    <row r="13" spans="1:52" ht="21" x14ac:dyDescent="0.35">
      <c r="A13" s="335"/>
      <c r="B13" s="358"/>
      <c r="C13" s="359" t="s">
        <v>209</v>
      </c>
      <c r="D13" s="360">
        <f>H57</f>
        <v>0.59099999999999997</v>
      </c>
      <c r="E13" s="357"/>
      <c r="F13" s="116"/>
      <c r="G13" s="116"/>
      <c r="H13" s="116"/>
      <c r="I13" s="361"/>
      <c r="J13" s="116"/>
      <c r="K13" s="116"/>
      <c r="L13" s="116"/>
      <c r="M13" s="335"/>
      <c r="N13" s="362" t="s">
        <v>6</v>
      </c>
      <c r="O13" s="293"/>
      <c r="P13" s="293"/>
      <c r="Q13" s="293"/>
      <c r="R13" s="293"/>
      <c r="S13" s="293"/>
      <c r="T13" s="293"/>
      <c r="U13" s="354" t="s">
        <v>4</v>
      </c>
      <c r="V13" s="278"/>
      <c r="W13" s="278"/>
      <c r="X13" s="278"/>
      <c r="Y13" s="278"/>
      <c r="Z13" s="278"/>
      <c r="AA13" s="278"/>
      <c r="AB13" s="301"/>
      <c r="AC13" s="116"/>
      <c r="AD13" s="301"/>
      <c r="AE13" s="301"/>
      <c r="AF13" s="301"/>
      <c r="AG13" s="301"/>
      <c r="AH13" s="301"/>
      <c r="AI13" s="301"/>
      <c r="AJ13" s="301"/>
      <c r="AK13" s="116"/>
      <c r="AL13" s="116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301"/>
    </row>
    <row r="14" spans="1:52" ht="21.75" thickBot="1" x14ac:dyDescent="0.4">
      <c r="A14" s="335"/>
      <c r="B14" s="363"/>
      <c r="C14" s="364" t="s">
        <v>210</v>
      </c>
      <c r="D14" s="365">
        <f>H58</f>
        <v>0.44500000000000001</v>
      </c>
      <c r="E14" s="357"/>
      <c r="F14" s="116"/>
      <c r="G14" s="116"/>
      <c r="H14" s="116"/>
      <c r="I14" s="366"/>
      <c r="J14" s="116"/>
      <c r="K14" s="116"/>
      <c r="L14" s="116"/>
      <c r="M14" s="335"/>
      <c r="N14" s="362" t="s">
        <v>40</v>
      </c>
      <c r="O14" s="335">
        <v>0</v>
      </c>
      <c r="P14" s="354" t="s">
        <v>1</v>
      </c>
      <c r="Q14" s="354"/>
      <c r="R14" s="335"/>
      <c r="S14" s="335"/>
      <c r="T14" s="354"/>
      <c r="U14" s="354"/>
      <c r="V14" s="278"/>
      <c r="W14" s="278"/>
      <c r="X14" s="278"/>
      <c r="Y14" s="278"/>
      <c r="Z14" s="278"/>
      <c r="AA14" s="278"/>
      <c r="AB14" s="301"/>
      <c r="AC14" s="301"/>
      <c r="AD14" s="301"/>
      <c r="AE14" s="301"/>
      <c r="AF14" s="301"/>
      <c r="AG14" s="301"/>
      <c r="AH14" s="116"/>
      <c r="AI14" s="116"/>
      <c r="AJ14" s="116"/>
      <c r="AK14" s="116"/>
      <c r="AL14" s="116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301"/>
    </row>
    <row r="15" spans="1:52" x14ac:dyDescent="0.2">
      <c r="A15" s="335"/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335"/>
      <c r="N15" s="367" t="s">
        <v>139</v>
      </c>
      <c r="O15" s="335"/>
      <c r="P15" s="335"/>
      <c r="Q15" s="335"/>
      <c r="R15" s="335"/>
      <c r="S15" s="335"/>
      <c r="T15" s="354"/>
      <c r="U15" s="354"/>
      <c r="V15" s="278"/>
      <c r="W15" s="278"/>
      <c r="X15" s="278"/>
      <c r="Y15" s="278"/>
      <c r="Z15" s="278"/>
      <c r="AA15" s="278"/>
      <c r="AB15" s="301"/>
      <c r="AC15" s="301"/>
      <c r="AD15" s="116"/>
      <c r="AE15" s="116"/>
      <c r="AF15" s="116"/>
      <c r="AG15" s="116"/>
      <c r="AH15" s="116"/>
      <c r="AI15" s="116"/>
      <c r="AJ15" s="116"/>
      <c r="AK15" s="116"/>
      <c r="AL15" s="116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301"/>
    </row>
    <row r="16" spans="1:52" x14ac:dyDescent="0.2">
      <c r="A16" s="335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335">
        <f>AT5</f>
        <v>0</v>
      </c>
      <c r="Q16" s="335"/>
      <c r="R16" s="335"/>
      <c r="S16" s="335"/>
      <c r="T16" s="354"/>
      <c r="U16" s="354"/>
      <c r="V16" s="278"/>
      <c r="W16" s="278"/>
      <c r="X16" s="278"/>
      <c r="Y16" s="278"/>
      <c r="Z16" s="278"/>
      <c r="AA16" s="278"/>
      <c r="AB16" s="301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116"/>
    </row>
    <row r="17" spans="1:52" x14ac:dyDescent="0.2">
      <c r="A17" s="335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335">
        <f>AT6</f>
        <v>0</v>
      </c>
      <c r="Q17" s="335"/>
      <c r="R17" s="335"/>
      <c r="S17" s="335"/>
      <c r="T17" s="354"/>
      <c r="U17" s="354"/>
      <c r="V17" s="278"/>
      <c r="W17" s="278"/>
      <c r="X17" s="278"/>
      <c r="Y17" s="278"/>
      <c r="Z17" s="278"/>
      <c r="AA17" s="278"/>
      <c r="AB17" s="301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116"/>
    </row>
    <row r="18" spans="1:52" x14ac:dyDescent="0.2">
      <c r="A18" s="335"/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335">
        <f>AU7</f>
        <v>0</v>
      </c>
      <c r="Q18" s="335"/>
      <c r="R18" s="335" t="s">
        <v>4</v>
      </c>
      <c r="S18" s="335"/>
      <c r="T18" s="354"/>
      <c r="U18" s="354"/>
      <c r="V18" s="278"/>
      <c r="W18" s="278"/>
      <c r="X18" s="278"/>
      <c r="Y18" s="278"/>
      <c r="Z18" s="278"/>
      <c r="AA18" s="278"/>
      <c r="AB18" s="301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301"/>
    </row>
    <row r="19" spans="1:52" x14ac:dyDescent="0.2">
      <c r="A19" s="335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335">
        <f>AQ8</f>
        <v>0</v>
      </c>
      <c r="Q19" s="335"/>
      <c r="R19" s="335" t="s">
        <v>4</v>
      </c>
      <c r="S19" s="335"/>
      <c r="T19" s="354"/>
      <c r="U19" s="354"/>
      <c r="V19" s="278"/>
      <c r="W19" s="278"/>
      <c r="X19" s="278"/>
      <c r="Y19" s="278"/>
      <c r="Z19" s="278"/>
      <c r="AA19" s="278"/>
      <c r="AB19" s="301"/>
      <c r="AC19" s="116"/>
      <c r="AD19" s="301"/>
      <c r="AE19" s="301"/>
      <c r="AF19" s="301"/>
      <c r="AG19" s="301"/>
      <c r="AH19" s="301"/>
      <c r="AI19" s="301"/>
      <c r="AJ19" s="301"/>
      <c r="AK19" s="301"/>
      <c r="AL19" s="301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301"/>
    </row>
    <row r="20" spans="1:52" x14ac:dyDescent="0.2">
      <c r="A20" s="335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335">
        <f>AU8</f>
        <v>0</v>
      </c>
      <c r="Q20" s="335"/>
      <c r="R20" s="335" t="s">
        <v>4</v>
      </c>
      <c r="S20" s="335"/>
      <c r="T20" s="354"/>
      <c r="U20" s="354"/>
      <c r="V20" s="278"/>
      <c r="W20" s="278"/>
      <c r="X20" s="278"/>
      <c r="Y20" s="278"/>
      <c r="Z20" s="278"/>
      <c r="AA20" s="278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301"/>
    </row>
    <row r="21" spans="1:52" x14ac:dyDescent="0.2">
      <c r="A21" s="335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335"/>
      <c r="Q21" s="335"/>
      <c r="R21" s="335"/>
      <c r="S21" s="335"/>
      <c r="T21" s="335"/>
      <c r="U21" s="356" t="e">
        <f>IF(#REF!="RT-rücktorische HL",IF(O20=O18/3,"(RT-Vollkorrektion)","(BTX)"),IF(#REF!="torische Weichlinse",IF(ABS(#REF!)&lt;3,"(Standard)","(individuell)"),""))</f>
        <v>#REF!</v>
      </c>
      <c r="V21" s="278"/>
      <c r="W21" s="278"/>
      <c r="X21" s="278"/>
      <c r="Y21" s="278"/>
      <c r="Z21" s="278"/>
      <c r="AA21" s="278"/>
      <c r="AB21" s="301"/>
      <c r="AC21" s="301"/>
      <c r="AD21" s="116"/>
      <c r="AE21" s="116"/>
      <c r="AF21" s="116"/>
      <c r="AG21" s="116"/>
      <c r="AH21" s="116"/>
      <c r="AI21" s="116"/>
      <c r="AJ21" s="116"/>
      <c r="AK21" s="116"/>
      <c r="AL21" s="116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301"/>
    </row>
    <row r="22" spans="1:52" x14ac:dyDescent="0.2">
      <c r="A22" s="335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368" t="s">
        <v>47</v>
      </c>
      <c r="Q22" s="368"/>
      <c r="R22" s="335" t="str">
        <f>G61</f>
        <v>normale HH-Abflachung</v>
      </c>
      <c r="S22" s="335"/>
      <c r="T22" s="354"/>
      <c r="U22" s="354"/>
      <c r="V22" s="301"/>
      <c r="W22" s="301"/>
      <c r="X22" s="301"/>
      <c r="Y22" s="301"/>
      <c r="Z22" s="301"/>
      <c r="AA22" s="301"/>
      <c r="AB22" s="301"/>
      <c r="AC22" s="301"/>
      <c r="AD22" s="116"/>
      <c r="AE22" s="116"/>
      <c r="AF22" s="116"/>
      <c r="AG22" s="116"/>
      <c r="AH22" s="116"/>
      <c r="AI22" s="116"/>
      <c r="AJ22" s="116"/>
      <c r="AK22" s="116"/>
      <c r="AL22" s="116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301"/>
    </row>
    <row r="23" spans="1:52" x14ac:dyDescent="0.2">
      <c r="A23" s="301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368"/>
      <c r="Q23" s="368"/>
      <c r="R23" s="335"/>
      <c r="S23" s="335"/>
      <c r="T23" s="354"/>
      <c r="U23" s="354"/>
      <c r="V23" s="301"/>
      <c r="W23" s="301"/>
      <c r="X23" s="301"/>
      <c r="Y23" s="301"/>
      <c r="Z23" s="301"/>
      <c r="AA23" s="301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301"/>
    </row>
    <row r="24" spans="1:52" x14ac:dyDescent="0.2">
      <c r="A24" s="301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368"/>
      <c r="Q24" s="368"/>
      <c r="R24" s="335"/>
      <c r="S24" s="335"/>
      <c r="T24" s="354"/>
      <c r="U24" s="354"/>
      <c r="V24" s="116"/>
      <c r="W24" s="116"/>
      <c r="X24" s="116"/>
      <c r="Y24" s="116"/>
      <c r="Z24" s="116"/>
      <c r="AA24" s="116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301"/>
    </row>
    <row r="25" spans="1:52" x14ac:dyDescent="0.2">
      <c r="A25" s="301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335"/>
      <c r="Q25" s="335"/>
      <c r="R25" s="335"/>
      <c r="S25" s="335"/>
      <c r="T25" s="354"/>
      <c r="U25" s="354"/>
      <c r="V25" s="369"/>
      <c r="W25" s="369"/>
      <c r="X25" s="369"/>
      <c r="Y25" s="369"/>
      <c r="Z25" s="369"/>
      <c r="AA25" s="369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301"/>
    </row>
    <row r="26" spans="1:52" x14ac:dyDescent="0.2">
      <c r="A26" s="301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335"/>
      <c r="Q26" s="335"/>
      <c r="R26" s="335"/>
      <c r="S26" s="335"/>
      <c r="T26" s="354"/>
      <c r="U26" s="354"/>
      <c r="V26" s="116"/>
      <c r="W26" s="116"/>
      <c r="X26" s="116"/>
      <c r="Y26" s="116"/>
      <c r="Z26" s="116"/>
      <c r="AA26" s="116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301"/>
    </row>
    <row r="27" spans="1:52" x14ac:dyDescent="0.2">
      <c r="A27" s="301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354"/>
      <c r="Q27" s="354"/>
      <c r="R27" s="335"/>
      <c r="S27" s="335"/>
      <c r="T27" s="335"/>
      <c r="U27" s="335"/>
      <c r="V27" s="370"/>
      <c r="W27" s="370"/>
      <c r="X27" s="370"/>
      <c r="Y27" s="370"/>
      <c r="Z27" s="370"/>
      <c r="AA27" s="370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301"/>
    </row>
    <row r="28" spans="1:52" x14ac:dyDescent="0.2">
      <c r="A28" s="301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354"/>
      <c r="Q28" s="354"/>
      <c r="R28" s="335"/>
      <c r="S28" s="335"/>
      <c r="T28" s="335"/>
      <c r="U28" s="335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301"/>
    </row>
    <row r="29" spans="1:52" x14ac:dyDescent="0.2">
      <c r="A29" s="301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116"/>
      <c r="Q29" s="335"/>
      <c r="R29" s="335"/>
      <c r="S29" s="335"/>
      <c r="T29" s="116"/>
      <c r="U29" s="116"/>
      <c r="V29" s="116"/>
      <c r="W29" s="116"/>
      <c r="X29" s="116"/>
      <c r="Y29" s="116"/>
      <c r="Z29" s="116"/>
      <c r="AA29" s="116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301"/>
    </row>
    <row r="30" spans="1:52" x14ac:dyDescent="0.2">
      <c r="A30" s="301"/>
      <c r="B30" s="293"/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116"/>
      <c r="Q30" s="335"/>
      <c r="R30" s="335"/>
      <c r="S30" s="335"/>
      <c r="T30" s="116"/>
      <c r="U30" s="116"/>
      <c r="V30" s="116"/>
      <c r="W30" s="116"/>
      <c r="X30" s="116"/>
      <c r="Y30" s="116"/>
      <c r="Z30" s="116"/>
      <c r="AA30" s="116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301"/>
    </row>
    <row r="31" spans="1:52" x14ac:dyDescent="0.2">
      <c r="A31" s="301"/>
      <c r="B31" s="293"/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116"/>
      <c r="Q31" s="335"/>
      <c r="R31" s="335"/>
      <c r="S31" s="335"/>
      <c r="T31" s="116"/>
      <c r="U31" s="116"/>
      <c r="V31" s="116"/>
      <c r="W31" s="116"/>
      <c r="X31" s="116"/>
      <c r="Y31" s="116"/>
      <c r="Z31" s="116"/>
      <c r="AA31" s="116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301"/>
    </row>
    <row r="32" spans="1:52" x14ac:dyDescent="0.2">
      <c r="A32" s="301"/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116"/>
      <c r="Q32" s="335"/>
      <c r="R32" s="335"/>
      <c r="S32" s="335"/>
      <c r="T32" s="116"/>
      <c r="U32" s="116"/>
      <c r="V32" s="116"/>
      <c r="W32" s="116"/>
      <c r="X32" s="116"/>
      <c r="Y32" s="116"/>
      <c r="Z32" s="116"/>
      <c r="AA32" s="116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301"/>
    </row>
    <row r="33" spans="1:52" x14ac:dyDescent="0.2">
      <c r="A33" s="301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116"/>
      <c r="Q33" s="335"/>
      <c r="R33" s="335"/>
      <c r="S33" s="335"/>
      <c r="T33" s="116"/>
      <c r="U33" s="116"/>
      <c r="V33" s="116"/>
      <c r="W33" s="116"/>
      <c r="X33" s="116"/>
      <c r="Y33" s="116"/>
      <c r="Z33" s="116"/>
      <c r="AA33" s="116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301"/>
    </row>
    <row r="34" spans="1:52" x14ac:dyDescent="0.2">
      <c r="A34" s="301"/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116"/>
      <c r="Q34" s="335"/>
      <c r="R34" s="335"/>
      <c r="S34" s="335"/>
      <c r="T34" s="116"/>
      <c r="U34" s="116"/>
      <c r="V34" s="116"/>
      <c r="W34" s="116"/>
      <c r="X34" s="116"/>
      <c r="Y34" s="116"/>
      <c r="Z34" s="116"/>
      <c r="AA34" s="116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301"/>
    </row>
    <row r="35" spans="1:52" x14ac:dyDescent="0.2">
      <c r="A35" s="301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116"/>
      <c r="Q35" s="335"/>
      <c r="R35" s="335"/>
      <c r="S35" s="335"/>
      <c r="T35" s="116"/>
      <c r="U35" s="116"/>
      <c r="V35" s="116"/>
      <c r="W35" s="116"/>
      <c r="X35" s="116"/>
      <c r="Y35" s="116"/>
      <c r="Z35" s="116"/>
      <c r="AA35" s="116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301"/>
    </row>
    <row r="36" spans="1:52" x14ac:dyDescent="0.2">
      <c r="A36" s="301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116"/>
      <c r="Q36" s="335"/>
      <c r="R36" s="335"/>
      <c r="S36" s="335"/>
      <c r="T36" s="116"/>
      <c r="U36" s="116"/>
      <c r="V36" s="116"/>
      <c r="W36" s="116"/>
      <c r="X36" s="116"/>
      <c r="Y36" s="116"/>
      <c r="Z36" s="116"/>
      <c r="AA36" s="116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293"/>
      <c r="AN36" s="293"/>
      <c r="AO36" s="293"/>
      <c r="AP36" s="293"/>
      <c r="AQ36" s="293"/>
      <c r="AR36" s="293"/>
      <c r="AS36" s="293"/>
      <c r="AT36" s="293"/>
      <c r="AU36" s="293"/>
      <c r="AV36" s="293"/>
      <c r="AW36" s="293"/>
      <c r="AX36" s="293"/>
      <c r="AY36" s="293"/>
      <c r="AZ36" s="301"/>
    </row>
    <row r="37" spans="1:52" x14ac:dyDescent="0.2">
      <c r="A37" s="301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116"/>
      <c r="Q37" s="335"/>
      <c r="R37" s="335"/>
      <c r="S37" s="335"/>
      <c r="T37" s="116"/>
      <c r="U37" s="116"/>
      <c r="V37" s="116"/>
      <c r="W37" s="116"/>
      <c r="X37" s="116"/>
      <c r="Y37" s="116"/>
      <c r="Z37" s="116"/>
      <c r="AA37" s="116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293"/>
      <c r="AN37" s="293"/>
      <c r="AO37" s="293"/>
      <c r="AP37" s="293"/>
      <c r="AQ37" s="293"/>
      <c r="AR37" s="293"/>
      <c r="AS37" s="293"/>
      <c r="AT37" s="293"/>
      <c r="AU37" s="293"/>
      <c r="AV37" s="293"/>
      <c r="AW37" s="293"/>
      <c r="AX37" s="293"/>
      <c r="AY37" s="293"/>
      <c r="AZ37" s="301"/>
    </row>
    <row r="38" spans="1:52" x14ac:dyDescent="0.2">
      <c r="A38" s="301"/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116"/>
      <c r="Q38" s="335"/>
      <c r="R38" s="335"/>
      <c r="S38" s="335"/>
      <c r="T38" s="116"/>
      <c r="U38" s="116"/>
      <c r="V38" s="116"/>
      <c r="W38" s="116"/>
      <c r="X38" s="116"/>
      <c r="Y38" s="116"/>
      <c r="Z38" s="116"/>
      <c r="AA38" s="116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293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301"/>
    </row>
    <row r="39" spans="1:52" x14ac:dyDescent="0.2">
      <c r="A39" s="301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116"/>
      <c r="Q39" s="335"/>
      <c r="R39" s="335"/>
      <c r="S39" s="335"/>
      <c r="T39" s="116"/>
      <c r="U39" s="116"/>
      <c r="V39" s="116"/>
      <c r="W39" s="116"/>
      <c r="X39" s="116"/>
      <c r="Y39" s="116"/>
      <c r="Z39" s="116"/>
      <c r="AA39" s="116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1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301"/>
    </row>
    <row r="40" spans="1:52" x14ac:dyDescent="0.2">
      <c r="A40" s="301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116"/>
      <c r="Q40" s="335"/>
      <c r="R40" s="335"/>
      <c r="S40" s="335"/>
      <c r="T40" s="116"/>
      <c r="U40" s="116"/>
      <c r="V40" s="116"/>
      <c r="W40" s="116"/>
      <c r="X40" s="116"/>
      <c r="Y40" s="116"/>
      <c r="Z40" s="116"/>
      <c r="AA40" s="116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301"/>
    </row>
    <row r="41" spans="1:52" x14ac:dyDescent="0.2">
      <c r="A41" s="301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116"/>
      <c r="Q41" s="335"/>
      <c r="R41" s="335"/>
      <c r="S41" s="335"/>
      <c r="T41" s="116"/>
      <c r="U41" s="116"/>
      <c r="V41" s="116"/>
      <c r="W41" s="116"/>
      <c r="X41" s="116"/>
      <c r="Y41" s="116"/>
      <c r="Z41" s="116"/>
      <c r="AA41" s="116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301"/>
    </row>
    <row r="42" spans="1:52" x14ac:dyDescent="0.2">
      <c r="A42" s="301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116"/>
      <c r="Q42" s="335"/>
      <c r="R42" s="335"/>
      <c r="S42" s="335"/>
      <c r="T42" s="116"/>
      <c r="U42" s="116"/>
      <c r="V42" s="116"/>
      <c r="W42" s="116"/>
      <c r="X42" s="116"/>
      <c r="Y42" s="116"/>
      <c r="Z42" s="116"/>
      <c r="AA42" s="116"/>
      <c r="AB42" s="301"/>
      <c r="AC42" s="301"/>
      <c r="AD42" s="301"/>
      <c r="AE42" s="301"/>
      <c r="AF42" s="301"/>
      <c r="AG42" s="301"/>
      <c r="AH42" s="301"/>
      <c r="AI42" s="301"/>
      <c r="AJ42" s="301"/>
      <c r="AK42" s="301"/>
      <c r="AL42" s="301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301"/>
    </row>
    <row r="43" spans="1:52" x14ac:dyDescent="0.2">
      <c r="A43" s="301"/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116"/>
      <c r="Q43" s="335"/>
      <c r="R43" s="335"/>
      <c r="S43" s="335"/>
      <c r="T43" s="116"/>
      <c r="U43" s="116"/>
      <c r="V43" s="116"/>
      <c r="W43" s="116"/>
      <c r="X43" s="116"/>
      <c r="Y43" s="116"/>
      <c r="Z43" s="116"/>
      <c r="AA43" s="116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301"/>
    </row>
    <row r="44" spans="1:52" x14ac:dyDescent="0.2">
      <c r="A44" s="301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293"/>
      <c r="O44" s="293"/>
      <c r="P44" s="116"/>
      <c r="Q44" s="335"/>
      <c r="R44" s="335"/>
      <c r="S44" s="335"/>
      <c r="T44" s="116"/>
      <c r="U44" s="116"/>
      <c r="V44" s="116"/>
      <c r="W44" s="116"/>
      <c r="X44" s="116"/>
      <c r="Y44" s="116"/>
      <c r="Z44" s="116"/>
      <c r="AA44" s="116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301"/>
    </row>
    <row r="45" spans="1:52" x14ac:dyDescent="0.2">
      <c r="A45" s="301"/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116"/>
      <c r="Q45" s="335"/>
      <c r="R45" s="335"/>
      <c r="S45" s="335"/>
      <c r="T45" s="116"/>
      <c r="U45" s="116"/>
      <c r="V45" s="116"/>
      <c r="W45" s="116"/>
      <c r="X45" s="116"/>
      <c r="Y45" s="116"/>
      <c r="Z45" s="116"/>
      <c r="AA45" s="116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301"/>
    </row>
    <row r="46" spans="1:52" x14ac:dyDescent="0.2">
      <c r="A46" s="301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116"/>
      <c r="Q46" s="335"/>
      <c r="R46" s="335"/>
      <c r="S46" s="335"/>
      <c r="T46" s="116"/>
      <c r="U46" s="116"/>
      <c r="V46" s="116"/>
      <c r="W46" s="116"/>
      <c r="X46" s="116"/>
      <c r="Y46" s="116"/>
      <c r="Z46" s="116"/>
      <c r="AA46" s="116"/>
      <c r="AB46" s="301"/>
      <c r="AC46" s="301"/>
      <c r="AD46" s="301"/>
      <c r="AE46" s="301"/>
      <c r="AF46" s="301"/>
      <c r="AG46" s="301"/>
      <c r="AH46" s="301"/>
      <c r="AI46" s="301"/>
      <c r="AJ46" s="301"/>
      <c r="AK46" s="301"/>
      <c r="AL46" s="301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301"/>
    </row>
    <row r="47" spans="1:52" x14ac:dyDescent="0.2">
      <c r="A47" s="301"/>
      <c r="B47" s="293"/>
      <c r="C47" s="293"/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116"/>
      <c r="Q47" s="335"/>
      <c r="R47" s="335"/>
      <c r="S47" s="335"/>
      <c r="T47" s="116"/>
      <c r="U47" s="116"/>
      <c r="V47" s="116"/>
      <c r="W47" s="116"/>
      <c r="X47" s="116"/>
      <c r="Y47" s="116"/>
      <c r="Z47" s="116"/>
      <c r="AA47" s="116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293"/>
      <c r="AN47" s="293"/>
      <c r="AO47" s="293"/>
      <c r="AP47" s="293"/>
      <c r="AQ47" s="293"/>
      <c r="AR47" s="293"/>
      <c r="AS47" s="293"/>
      <c r="AT47" s="293"/>
      <c r="AU47" s="293"/>
      <c r="AV47" s="293"/>
      <c r="AW47" s="293"/>
      <c r="AX47" s="293"/>
      <c r="AY47" s="293"/>
      <c r="AZ47" s="301"/>
    </row>
    <row r="48" spans="1:52" x14ac:dyDescent="0.2">
      <c r="A48" s="301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116"/>
      <c r="Q48" s="335"/>
      <c r="R48" s="335"/>
      <c r="S48" s="335"/>
      <c r="T48" s="116"/>
      <c r="U48" s="116"/>
      <c r="V48" s="116"/>
      <c r="W48" s="116"/>
      <c r="X48" s="116"/>
      <c r="Y48" s="116"/>
      <c r="Z48" s="116"/>
      <c r="AA48" s="116"/>
      <c r="AB48" s="301"/>
      <c r="AC48" s="301"/>
      <c r="AD48" s="301"/>
      <c r="AE48" s="301"/>
      <c r="AF48" s="301"/>
      <c r="AG48" s="301"/>
      <c r="AH48" s="301"/>
      <c r="AI48" s="301"/>
      <c r="AJ48" s="301"/>
      <c r="AK48" s="301"/>
      <c r="AL48" s="301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301"/>
    </row>
    <row r="49" spans="1:52" x14ac:dyDescent="0.2">
      <c r="A49" s="301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116"/>
      <c r="Q49" s="335"/>
      <c r="R49" s="335"/>
      <c r="S49" s="335"/>
      <c r="T49" s="116"/>
      <c r="U49" s="116"/>
      <c r="V49" s="116"/>
      <c r="W49" s="116"/>
      <c r="X49" s="116"/>
      <c r="Y49" s="116"/>
      <c r="Z49" s="116"/>
      <c r="AA49" s="116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293"/>
      <c r="AN49" s="293"/>
      <c r="AO49" s="293"/>
      <c r="AP49" s="293"/>
      <c r="AQ49" s="293"/>
      <c r="AR49" s="293"/>
      <c r="AS49" s="293"/>
      <c r="AT49" s="293"/>
      <c r="AU49" s="293"/>
      <c r="AV49" s="293"/>
      <c r="AW49" s="293"/>
      <c r="AX49" s="293"/>
      <c r="AY49" s="293"/>
      <c r="AZ49" s="301"/>
    </row>
    <row r="50" spans="1:52" x14ac:dyDescent="0.2">
      <c r="A50" s="301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116"/>
      <c r="Q50" s="335"/>
      <c r="R50" s="335"/>
      <c r="S50" s="335"/>
      <c r="T50" s="116"/>
      <c r="U50" s="301"/>
      <c r="V50" s="301"/>
      <c r="W50" s="301"/>
      <c r="X50" s="301"/>
      <c r="Y50" s="301"/>
      <c r="Z50" s="301"/>
      <c r="AA50" s="301"/>
      <c r="AB50" s="301"/>
      <c r="AC50" s="301"/>
      <c r="AD50" s="301"/>
      <c r="AE50" s="301"/>
      <c r="AF50" s="301"/>
      <c r="AG50" s="301"/>
      <c r="AH50" s="301"/>
      <c r="AI50" s="301"/>
      <c r="AJ50" s="301"/>
      <c r="AK50" s="301"/>
      <c r="AL50" s="301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301"/>
    </row>
    <row r="51" spans="1:52" x14ac:dyDescent="0.2">
      <c r="A51" s="301"/>
      <c r="B51" s="116"/>
      <c r="C51" s="116"/>
      <c r="D51" s="353"/>
      <c r="E51" s="353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335"/>
      <c r="R51" s="335"/>
      <c r="S51" s="335"/>
      <c r="T51" s="116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301"/>
    </row>
    <row r="52" spans="1:52" ht="14.25" customHeight="1" x14ac:dyDescent="0.2">
      <c r="A52" s="301"/>
      <c r="B52" s="326" t="s">
        <v>15</v>
      </c>
      <c r="C52" s="328" t="s">
        <v>13</v>
      </c>
      <c r="D52" s="326">
        <f>IF(C4&gt;=C6,C8+H56,C8-H56)</f>
        <v>7.98</v>
      </c>
      <c r="E52" s="328" t="s">
        <v>1</v>
      </c>
      <c r="F52" s="371" t="s">
        <v>17</v>
      </c>
      <c r="G52" s="328" t="s">
        <v>13</v>
      </c>
      <c r="H52" s="327">
        <f>IF(C4&gt;=C6,C10-H56,C10+H56)</f>
        <v>8.120000000000001</v>
      </c>
      <c r="I52" s="328" t="s">
        <v>1</v>
      </c>
      <c r="J52" s="328"/>
      <c r="K52" s="328"/>
      <c r="L52" s="372"/>
      <c r="M52" s="301"/>
      <c r="N52" s="301"/>
      <c r="O52" s="301"/>
      <c r="P52" s="301"/>
      <c r="Q52" s="335"/>
      <c r="R52" s="335"/>
      <c r="S52" s="335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301"/>
    </row>
    <row r="53" spans="1:52" x14ac:dyDescent="0.2">
      <c r="A53" s="301"/>
      <c r="B53" s="326" t="s">
        <v>16</v>
      </c>
      <c r="C53" s="328" t="s">
        <v>13</v>
      </c>
      <c r="D53" s="326">
        <f>IF(C4&gt;=C6,C9+H56,C9-H56)</f>
        <v>7.98</v>
      </c>
      <c r="E53" s="328" t="s">
        <v>1</v>
      </c>
      <c r="F53" s="371" t="s">
        <v>18</v>
      </c>
      <c r="G53" s="328" t="s">
        <v>13</v>
      </c>
      <c r="H53" s="327">
        <f>IF(C4&gt;=C6,C11-H56,C11+H56)</f>
        <v>8.120000000000001</v>
      </c>
      <c r="I53" s="328" t="s">
        <v>1</v>
      </c>
      <c r="J53" s="328"/>
      <c r="K53" s="328"/>
      <c r="L53" s="372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301"/>
    </row>
    <row r="54" spans="1:52" x14ac:dyDescent="0.2">
      <c r="A54" s="301"/>
      <c r="B54" s="352" t="s">
        <v>20</v>
      </c>
      <c r="C54" s="328" t="s">
        <v>13</v>
      </c>
      <c r="D54" s="373">
        <f>(C4+C6)/2</f>
        <v>7.6899999999999995</v>
      </c>
      <c r="E54" s="328" t="s">
        <v>1</v>
      </c>
      <c r="F54" s="352" t="s">
        <v>12</v>
      </c>
      <c r="G54" s="328" t="s">
        <v>13</v>
      </c>
      <c r="H54" s="327">
        <f>IF(C4&gt;=C6,C4,C6)</f>
        <v>7.78</v>
      </c>
      <c r="I54" s="328" t="s">
        <v>1</v>
      </c>
      <c r="J54" s="372"/>
      <c r="K54" s="372"/>
      <c r="L54" s="372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301"/>
    </row>
    <row r="55" spans="1:52" x14ac:dyDescent="0.2">
      <c r="A55" s="301"/>
      <c r="B55" s="352" t="s">
        <v>21</v>
      </c>
      <c r="C55" s="328" t="s">
        <v>13</v>
      </c>
      <c r="D55" s="373">
        <f>SUM(C8:C11)/4</f>
        <v>8.0500000000000007</v>
      </c>
      <c r="E55" s="328" t="s">
        <v>1</v>
      </c>
      <c r="F55" s="352" t="s">
        <v>14</v>
      </c>
      <c r="G55" s="328" t="s">
        <v>13</v>
      </c>
      <c r="H55" s="329">
        <f>IF(C4&gt;=C6,(C8+C9)/2+H56,(C10+C11)/2+H56)</f>
        <v>7.98</v>
      </c>
      <c r="I55" s="328" t="s">
        <v>1</v>
      </c>
      <c r="J55" s="372"/>
      <c r="K55" s="372"/>
      <c r="L55" s="372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301"/>
    </row>
    <row r="56" spans="1:52" x14ac:dyDescent="0.2">
      <c r="A56" s="301"/>
      <c r="B56" s="328" t="s">
        <v>146</v>
      </c>
      <c r="C56" s="328"/>
      <c r="D56" s="352">
        <f>RADIANS(C7)</f>
        <v>0.52359877559829882</v>
      </c>
      <c r="E56" s="328"/>
      <c r="F56" s="352" t="s">
        <v>201</v>
      </c>
      <c r="G56" s="328" t="s">
        <v>13</v>
      </c>
      <c r="H56" s="327">
        <f>IF(C4&gt;=C6,C4-C6,C6-C4)</f>
        <v>0.1800000000000006</v>
      </c>
      <c r="I56" s="328" t="s">
        <v>1</v>
      </c>
      <c r="J56" s="372"/>
      <c r="K56" s="372"/>
      <c r="L56" s="372"/>
      <c r="M56" s="301"/>
      <c r="N56" s="301"/>
      <c r="O56" s="301"/>
      <c r="P56" s="301"/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301"/>
      <c r="AB56" s="301"/>
      <c r="AC56" s="301"/>
      <c r="AD56" s="301"/>
      <c r="AE56" s="301"/>
      <c r="AF56" s="301"/>
      <c r="AG56" s="301"/>
      <c r="AH56" s="301"/>
      <c r="AI56" s="301"/>
      <c r="AJ56" s="301"/>
      <c r="AK56" s="301"/>
      <c r="AL56" s="301"/>
      <c r="AM56" s="293"/>
      <c r="AN56" s="293"/>
      <c r="AO56" s="293"/>
      <c r="AP56" s="293"/>
      <c r="AQ56" s="293"/>
      <c r="AR56" s="293"/>
      <c r="AS56" s="293"/>
      <c r="AT56" s="293"/>
      <c r="AU56" s="293"/>
      <c r="AV56" s="293"/>
      <c r="AW56" s="293"/>
      <c r="AX56" s="293"/>
      <c r="AY56" s="293"/>
      <c r="AZ56" s="301" t="s">
        <v>2</v>
      </c>
    </row>
    <row r="57" spans="1:52" ht="18.75" x14ac:dyDescent="0.3">
      <c r="A57" s="301"/>
      <c r="B57" s="326" t="s">
        <v>202</v>
      </c>
      <c r="C57" s="374">
        <f>C7</f>
        <v>30</v>
      </c>
      <c r="D57" s="375">
        <f>IF(D54&lt;D55,1/SIN(D56)*SQRT(1-(D54*D54)/(D55*D55)),1/SIN(D56)*SQRT((D54*D54)/(D55*D55)-1)*(-1))</f>
        <v>0.59140872819510282</v>
      </c>
      <c r="E57" s="372"/>
      <c r="F57" s="326" t="s">
        <v>203</v>
      </c>
      <c r="G57" s="372" t="s">
        <v>13</v>
      </c>
      <c r="H57" s="376">
        <f>IF(C57&lt;30,ROUND(D57+0.1,3),ROUND(D57,3))</f>
        <v>0.59099999999999997</v>
      </c>
      <c r="I57" s="372"/>
      <c r="J57" s="372"/>
      <c r="K57" s="372"/>
      <c r="L57" s="372"/>
      <c r="M57" s="301"/>
      <c r="N57" s="301"/>
      <c r="O57" s="301"/>
      <c r="P57" s="301"/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301"/>
      <c r="AB57" s="301"/>
      <c r="AC57" s="301"/>
      <c r="AD57" s="301"/>
      <c r="AE57" s="301"/>
      <c r="AF57" s="301"/>
      <c r="AG57" s="301"/>
      <c r="AH57" s="301"/>
      <c r="AI57" s="301"/>
      <c r="AJ57" s="301"/>
      <c r="AK57" s="301"/>
      <c r="AL57" s="301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301"/>
    </row>
    <row r="58" spans="1:52" ht="18.75" x14ac:dyDescent="0.3">
      <c r="A58" s="301"/>
      <c r="B58" s="326" t="s">
        <v>204</v>
      </c>
      <c r="C58" s="374">
        <f>C7</f>
        <v>30</v>
      </c>
      <c r="D58" s="375">
        <f>ROUND(IF(H54&lt;H55,1/SIN(D56)*SQRT(1-(H54*H54)/(H55*H55)),1/SIN(D56)*SQRT((H54*H54)/(H55*H55)-1)*(-1)),3)</f>
        <v>0.44500000000000001</v>
      </c>
      <c r="E58" s="372"/>
      <c r="F58" s="326" t="s">
        <v>205</v>
      </c>
      <c r="G58" s="372" t="s">
        <v>13</v>
      </c>
      <c r="H58" s="376">
        <f>IF(C58&lt;30,ROUND(D58+0.1,3),ROUND(D58,3))</f>
        <v>0.44500000000000001</v>
      </c>
      <c r="I58" s="372"/>
      <c r="J58" s="372"/>
      <c r="K58" s="372"/>
      <c r="L58" s="372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301"/>
      <c r="AG58" s="301"/>
      <c r="AH58" s="301"/>
      <c r="AI58" s="301"/>
      <c r="AJ58" s="301"/>
      <c r="AK58" s="301"/>
      <c r="AL58" s="301"/>
      <c r="AM58" s="293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301"/>
    </row>
    <row r="59" spans="1:52" x14ac:dyDescent="0.2">
      <c r="A59" s="301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01"/>
      <c r="AG59" s="301"/>
      <c r="AH59" s="301"/>
      <c r="AI59" s="301"/>
      <c r="AJ59" s="301"/>
      <c r="AK59" s="301"/>
      <c r="AL59" s="301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301"/>
    </row>
    <row r="60" spans="1:52" x14ac:dyDescent="0.2">
      <c r="A60" s="301"/>
      <c r="B60" s="327" t="s">
        <v>162</v>
      </c>
      <c r="C60" s="328"/>
      <c r="D60" s="328"/>
      <c r="E60" s="328"/>
      <c r="F60" s="328"/>
      <c r="G60" s="377"/>
      <c r="H60" s="328"/>
      <c r="I60" s="328"/>
      <c r="J60" s="328"/>
      <c r="K60" s="328"/>
      <c r="L60" s="372"/>
      <c r="M60" s="301"/>
      <c r="N60" s="301"/>
      <c r="O60" s="301"/>
      <c r="P60" s="301"/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1"/>
      <c r="AK60" s="301"/>
      <c r="AL60" s="301"/>
      <c r="AM60" s="293"/>
      <c r="AN60" s="293"/>
      <c r="AO60" s="293"/>
      <c r="AP60" s="293"/>
      <c r="AQ60" s="293"/>
      <c r="AR60" s="293"/>
      <c r="AS60" s="293"/>
      <c r="AT60" s="293"/>
      <c r="AU60" s="293"/>
      <c r="AV60" s="293"/>
      <c r="AW60" s="293"/>
      <c r="AX60" s="293"/>
      <c r="AY60" s="293"/>
      <c r="AZ60" s="301"/>
    </row>
    <row r="61" spans="1:52" ht="18.75" x14ac:dyDescent="0.3">
      <c r="A61" s="301"/>
      <c r="B61" s="326" t="s">
        <v>203</v>
      </c>
      <c r="C61" s="328" t="s">
        <v>13</v>
      </c>
      <c r="D61" s="378">
        <f>H57</f>
        <v>0.59099999999999997</v>
      </c>
      <c r="E61" s="379" t="s">
        <v>47</v>
      </c>
      <c r="F61" s="328"/>
      <c r="G61" s="377" t="str">
        <f>IF(D57&lt;0.3,IF(D57&lt;0,"versteilende Hornhaut","geringe HH-Abflachung"),IF(D57&gt;0.7,"starke Abflachung /Keratokonus?","normale HH-Abflachung"))</f>
        <v>normale HH-Abflachung</v>
      </c>
      <c r="H61" s="328"/>
      <c r="I61" s="328"/>
      <c r="J61" s="328"/>
      <c r="K61" s="328"/>
      <c r="L61" s="372"/>
      <c r="M61" s="301"/>
      <c r="N61" s="301"/>
      <c r="O61" s="301"/>
      <c r="P61" s="301"/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301"/>
      <c r="AB61" s="301"/>
      <c r="AC61" s="301"/>
      <c r="AD61" s="301"/>
      <c r="AE61" s="301"/>
      <c r="AF61" s="301"/>
      <c r="AG61" s="301"/>
      <c r="AH61" s="301"/>
      <c r="AI61" s="301"/>
      <c r="AJ61" s="301"/>
      <c r="AK61" s="301"/>
      <c r="AL61" s="301"/>
      <c r="AM61" s="293"/>
      <c r="AN61" s="293"/>
      <c r="AO61" s="293"/>
      <c r="AP61" s="293"/>
      <c r="AQ61" s="293"/>
      <c r="AR61" s="293"/>
      <c r="AS61" s="293"/>
      <c r="AT61" s="293"/>
      <c r="AU61" s="293"/>
      <c r="AV61" s="293"/>
      <c r="AW61" s="293"/>
      <c r="AX61" s="293"/>
      <c r="AY61" s="293"/>
      <c r="AZ61" s="301"/>
    </row>
    <row r="62" spans="1:52" ht="18.75" x14ac:dyDescent="0.3">
      <c r="A62" s="301"/>
      <c r="B62" s="326" t="s">
        <v>206</v>
      </c>
      <c r="C62" s="328" t="s">
        <v>13</v>
      </c>
      <c r="D62" s="377">
        <f>IF(H57&gt;=0.3,((INT(H57*10))+1)/10,IF(H57&lt;(-0.299),(INT(H57*10)+1)/10,0))</f>
        <v>0.6</v>
      </c>
      <c r="E62" s="379" t="s">
        <v>47</v>
      </c>
      <c r="F62" s="328"/>
      <c r="G62" s="377" t="s">
        <v>35</v>
      </c>
      <c r="H62" s="328"/>
      <c r="I62" s="377" t="str">
        <f>IF(D57&lt;0.3,IF(D57&lt;(-0.299),"oblonge Geometrie","sphärische Geometrie"),"asphärische Geometrie")</f>
        <v>asphärische Geometrie</v>
      </c>
      <c r="J62" s="328"/>
      <c r="K62" s="328"/>
      <c r="L62" s="372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3"/>
      <c r="AZ62" s="301"/>
    </row>
    <row r="63" spans="1:52" x14ac:dyDescent="0.2">
      <c r="A63" s="301"/>
      <c r="B63" s="327"/>
      <c r="C63" s="328"/>
      <c r="D63" s="328"/>
      <c r="E63" s="328"/>
      <c r="F63" s="328"/>
      <c r="G63" s="328"/>
      <c r="H63" s="328"/>
      <c r="I63" s="328"/>
      <c r="J63" s="328"/>
      <c r="K63" s="328"/>
      <c r="L63" s="372"/>
      <c r="M63" s="301"/>
      <c r="N63" s="301"/>
      <c r="O63" s="301"/>
      <c r="P63" s="301"/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301"/>
      <c r="AB63" s="301"/>
      <c r="AC63" s="301"/>
      <c r="AD63" s="301"/>
      <c r="AE63" s="301"/>
      <c r="AF63" s="301"/>
      <c r="AG63" s="301"/>
      <c r="AH63" s="301"/>
      <c r="AI63" s="301"/>
      <c r="AJ63" s="301"/>
      <c r="AK63" s="301"/>
      <c r="AL63" s="301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301"/>
    </row>
    <row r="64" spans="1:52" x14ac:dyDescent="0.2">
      <c r="A64" s="301"/>
      <c r="B64" s="327" t="s">
        <v>163</v>
      </c>
      <c r="C64" s="328"/>
      <c r="D64" s="328"/>
      <c r="E64" s="328"/>
      <c r="F64" s="328"/>
      <c r="G64" s="328"/>
      <c r="H64" s="328"/>
      <c r="I64" s="328"/>
      <c r="J64" s="328"/>
      <c r="K64" s="328"/>
      <c r="L64" s="372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301"/>
    </row>
    <row r="65" spans="1:52" ht="18.75" x14ac:dyDescent="0.3">
      <c r="A65" s="301"/>
      <c r="B65" s="326" t="s">
        <v>207</v>
      </c>
      <c r="C65" s="328" t="s">
        <v>13</v>
      </c>
      <c r="D65" s="376">
        <f>H58</f>
        <v>0.44500000000000001</v>
      </c>
      <c r="E65" s="328"/>
      <c r="F65" s="328"/>
      <c r="G65" s="326" t="s">
        <v>206</v>
      </c>
      <c r="H65" s="328" t="s">
        <v>13</v>
      </c>
      <c r="I65" s="377">
        <f>D62</f>
        <v>0.6</v>
      </c>
      <c r="J65" s="352" t="s">
        <v>208</v>
      </c>
      <c r="K65" s="380">
        <f>IF(I65=0,0,I65*10)</f>
        <v>6</v>
      </c>
      <c r="L65" s="372">
        <f>I65*10</f>
        <v>6</v>
      </c>
      <c r="M65" s="301"/>
      <c r="N65" s="301"/>
      <c r="O65" s="301"/>
      <c r="P65" s="301"/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1"/>
      <c r="AK65" s="301"/>
      <c r="AL65" s="301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301"/>
    </row>
    <row r="66" spans="1:52" x14ac:dyDescent="0.2">
      <c r="A66" s="301"/>
      <c r="B66" s="292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1"/>
      <c r="AQ66" s="301"/>
      <c r="AR66" s="301"/>
      <c r="AS66" s="301"/>
      <c r="AT66" s="301"/>
      <c r="AU66" s="301"/>
      <c r="AV66" s="301"/>
      <c r="AW66" s="301"/>
      <c r="AX66" s="301"/>
      <c r="AY66" s="292"/>
      <c r="AZ66" s="301"/>
    </row>
  </sheetData>
  <sheetProtection password="CDCE" sheet="1" objects="1" scenarios="1" selectLockedCells="1"/>
  <dataValidations count="4">
    <dataValidation type="decimal" allowBlank="1" showInputMessage="1" showErrorMessage="1" error="Zentralradien zwischen 4 und 12 mm einegeben." sqref="C4 C6">
      <formula1>4</formula1>
      <formula2>12</formula2>
    </dataValidation>
    <dataValidation type="whole" allowBlank="1" showInputMessage="1" showErrorMessage="1" error="Messwinkel-Eingabe von 30°, 25° oder 20° erlaubt." prompt="Messwinkel 30°, 25° oder 20° eingeben." sqref="C7">
      <formula1>20</formula1>
      <formula2>30</formula2>
    </dataValidation>
    <dataValidation type="decimal" allowBlank="1" showInputMessage="1" showErrorMessage="1" error="Sagittalradien zwischen 5 und 12 mm erlaubt." sqref="C8:C11">
      <formula1>5</formula1>
      <formula2>12</formula2>
    </dataValidation>
    <dataValidation type="whole" allowBlank="1" showInputMessage="1" showErrorMessage="1" error="Horizontale Achseingabe zwischen 0° und 45° oder zwischen 135° und 180° eingeben." prompt="Achse des horizontalen Zentralradius eingeben._x000a_D.h. zwischen 0° und 45° oder 135° bis 180°." sqref="C5">
      <formula1>0</formula1>
      <formula2>180</formula2>
    </dataValidation>
  </dataValidations>
  <hyperlinks>
    <hyperlink ref="D2:V2" r:id="rId1" display="Download neuste Version"/>
  </hyperlinks>
  <pageMargins left="0.7" right="0.7" top="0.78740157499999996" bottom="0.78740157499999996" header="0.3" footer="0.3"/>
  <pageSetup paperSize="9" orientation="portrait" r:id="rId2"/>
  <ignoredErrors>
    <ignoredError sqref="D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SRM-Auswertung</vt:lpstr>
      <vt:lpstr>SRM-DIN A4</vt:lpstr>
      <vt:lpstr>Beste sph. Linse</vt:lpstr>
      <vt:lpstr>theor. Überrefraktion</vt:lpstr>
      <vt:lpstr>Torische Weichlinse</vt:lpstr>
      <vt:lpstr>VPT-Linse</vt:lpstr>
      <vt:lpstr>BTC-Linse</vt:lpstr>
      <vt:lpstr>Mobile</vt:lpstr>
      <vt:lpstr>Exzentrizität</vt:lpstr>
      <vt:lpstr>Download neuste Version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Anpassprogramm</dc:title>
  <dc:subject>Hart- und Weichlinsen</dc:subject>
  <dc:creator>Rainer Billert</dc:creator>
  <cp:keywords>Hartlinsen Weichlinsen Anpassung</cp:keywords>
  <dc:description>Voll funktionstüchtige Version. Ist geprüft.</dc:description>
  <cp:lastModifiedBy>Rainer Billert</cp:lastModifiedBy>
  <cp:lastPrinted>2014-11-05T12:07:58Z</cp:lastPrinted>
  <dcterms:created xsi:type="dcterms:W3CDTF">1998-06-30T18:28:38Z</dcterms:created>
  <dcterms:modified xsi:type="dcterms:W3CDTF">2018-10-18T08:53:10Z</dcterms:modified>
  <cp:category>Kontaktlinsen</cp:category>
</cp:coreProperties>
</file>